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limova\Desktop\отдел электрика 2014окт\ГАЗ\Внесение изменений по газу в связи с НДС 20%\Природный\"/>
    </mc:Choice>
  </mc:AlternateContent>
  <bookViews>
    <workbookView xWindow="0" yWindow="495" windowWidth="19155" windowHeight="11400" firstSheet="8" activeTab="9"/>
  </bookViews>
  <sheets>
    <sheet name="Расчет средн." sheetId="4" state="hidden" r:id="rId1"/>
    <sheet name="Расчет по методике" sheetId="2" state="hidden" r:id="rId2"/>
    <sheet name="МОЙ РАСЧЕТ" sheetId="3" state="hidden" r:id="rId3"/>
    <sheet name="МОЙ РАСЧЕТ (2)" sheetId="5" state="hidden" r:id="rId4"/>
    <sheet name="МОЙ РАСЧЕТ (3)" sheetId="9" state="hidden" r:id="rId5"/>
    <sheet name="МОЙ РАСЧЕТ (4)" sheetId="13" state="hidden" r:id="rId6"/>
    <sheet name="прил к эксп" sheetId="12" state="hidden" r:id="rId7"/>
    <sheet name="прил к эксп 1" sheetId="14" state="hidden" r:id="rId8"/>
    <sheet name="прил к эксп 2" sheetId="10" r:id="rId9"/>
    <sheet name="прил к эксп 3" sheetId="1" r:id="rId10"/>
    <sheet name="приложение к постановлению" sheetId="11" state="hidden" r:id="rId11"/>
    <sheet name="для Маркелова" sheetId="8" state="hidden" r:id="rId12"/>
  </sheets>
  <externalReferences>
    <externalReference r:id="rId13"/>
    <externalReference r:id="rId14"/>
  </externalReferences>
  <definedNames>
    <definedName name="_xlnm.Print_Area" localSheetId="5">'МОЙ РАСЧЕТ (4)'!$A$1:$I$28</definedName>
    <definedName name="_xlnm.Print_Area" localSheetId="6">'прил к эксп'!$A$1:$J$78</definedName>
    <definedName name="_xlnm.Print_Area" localSheetId="7">'прил к эксп 1'!$A$1:$N$17</definedName>
    <definedName name="_xlnm.Print_Area" localSheetId="8">'прил к эксп 2'!$A$1:$O$99</definedName>
    <definedName name="_xlnm.Print_Area" localSheetId="9">'прил к эксп 3'!$A$1:$AB$32</definedName>
    <definedName name="_xlnm.Print_Area" localSheetId="10">'приложение к постановлению'!$A$1:$T$77</definedName>
  </definedNames>
  <calcPr calcId="152511"/>
</workbook>
</file>

<file path=xl/calcChain.xml><?xml version="1.0" encoding="utf-8"?>
<calcChain xmlns="http://schemas.openxmlformats.org/spreadsheetml/2006/main">
  <c r="O22" i="10" l="1"/>
  <c r="O23" i="10"/>
  <c r="O24" i="10"/>
  <c r="O25" i="10"/>
  <c r="O21" i="10"/>
  <c r="O19" i="10"/>
  <c r="N24" i="10"/>
  <c r="N25" i="10"/>
  <c r="N22" i="10"/>
  <c r="N23" i="10"/>
  <c r="N21" i="10"/>
  <c r="O8" i="10"/>
  <c r="O9" i="10"/>
  <c r="O10" i="10"/>
  <c r="O11" i="10"/>
  <c r="O12" i="10"/>
  <c r="O13" i="10"/>
  <c r="O14" i="10"/>
  <c r="O15" i="10"/>
  <c r="O16" i="10"/>
  <c r="O17" i="10"/>
  <c r="O18" i="10"/>
  <c r="O27" i="10"/>
  <c r="O28" i="10"/>
  <c r="O29" i="10"/>
  <c r="O30" i="10"/>
  <c r="O31" i="10"/>
  <c r="O6" i="10"/>
  <c r="O7" i="10"/>
  <c r="N27" i="10"/>
  <c r="N18" i="10"/>
  <c r="N6" i="10"/>
  <c r="N16" i="10" s="1"/>
  <c r="AB10" i="1"/>
  <c r="AB12" i="1"/>
  <c r="AB13" i="1"/>
  <c r="AB14" i="1"/>
  <c r="AB15" i="1"/>
  <c r="AB17" i="1"/>
  <c r="AB18" i="1"/>
  <c r="AB19" i="1"/>
  <c r="AB20" i="1"/>
  <c r="AB21" i="1"/>
  <c r="AB22" i="1"/>
  <c r="AB23" i="1"/>
  <c r="AB11" i="1"/>
  <c r="AA18" i="1"/>
  <c r="AA20" i="1"/>
  <c r="AA21" i="1" s="1"/>
  <c r="AA23" i="1" s="1"/>
  <c r="AA19" i="1"/>
  <c r="AA17" i="1"/>
  <c r="AA15" i="1"/>
  <c r="AA14" i="1"/>
  <c r="N19" i="10" l="1"/>
  <c r="N17" i="10"/>
  <c r="AA22" i="1"/>
  <c r="L11" i="10"/>
  <c r="L10" i="10"/>
  <c r="L9" i="10"/>
  <c r="L8" i="10"/>
  <c r="L7" i="10"/>
  <c r="L6" i="10"/>
  <c r="P14" i="1"/>
  <c r="P15" i="1" s="1"/>
  <c r="I15" i="10"/>
  <c r="I14" i="10"/>
  <c r="I13" i="10" l="1"/>
  <c r="D28" i="10" l="1"/>
  <c r="D29" i="10"/>
  <c r="D30" i="10"/>
  <c r="D31" i="10"/>
  <c r="D27" i="10"/>
  <c r="P20" i="1" l="1"/>
  <c r="P22" i="1" s="1"/>
  <c r="R10" i="1"/>
  <c r="R13" i="1" s="1"/>
  <c r="P17" i="1"/>
  <c r="P18" i="1" s="1"/>
  <c r="P19" i="1" s="1"/>
  <c r="K6" i="10"/>
  <c r="J6" i="10"/>
  <c r="D6" i="10"/>
  <c r="E6" i="10"/>
  <c r="R12" i="1" l="1"/>
  <c r="R22" i="1" s="1"/>
  <c r="R11" i="1"/>
  <c r="P21" i="1"/>
  <c r="P23" i="1" s="1"/>
  <c r="H46" i="10"/>
  <c r="H52" i="10"/>
  <c r="H53" i="10"/>
  <c r="H58" i="10"/>
  <c r="H59" i="10"/>
  <c r="H60" i="10"/>
  <c r="H67" i="10"/>
  <c r="H74" i="10"/>
  <c r="H75" i="10"/>
  <c r="H76" i="10"/>
  <c r="H77" i="10"/>
  <c r="H78" i="10"/>
  <c r="H79" i="10"/>
  <c r="H86" i="10"/>
  <c r="H87" i="10"/>
  <c r="H88" i="10"/>
  <c r="H89" i="10"/>
  <c r="H91" i="10"/>
  <c r="H92" i="10"/>
  <c r="H13" i="10"/>
  <c r="H15" i="10"/>
  <c r="H14" i="10"/>
  <c r="R14" i="1" l="1"/>
  <c r="R17" i="1" s="1"/>
  <c r="R18" i="1" s="1"/>
  <c r="R19" i="1" s="1"/>
  <c r="R15" i="1"/>
  <c r="R23" i="1"/>
  <c r="R20" i="1"/>
  <c r="R21" i="1" s="1"/>
  <c r="M11" i="10"/>
  <c r="I8" i="10"/>
  <c r="I9" i="10"/>
  <c r="I10" i="10"/>
  <c r="I11" i="10"/>
  <c r="I7" i="10"/>
  <c r="H10" i="10"/>
  <c r="H11" i="10"/>
  <c r="H7" i="10"/>
  <c r="H8" i="10"/>
  <c r="H9" i="10"/>
  <c r="H6" i="10"/>
  <c r="N20" i="1" l="1"/>
  <c r="N21" i="1" s="1"/>
  <c r="N23" i="1" s="1"/>
  <c r="N14" i="1"/>
  <c r="N17" i="1" s="1"/>
  <c r="N18" i="1" s="1"/>
  <c r="N19" i="1" s="1"/>
  <c r="E25" i="10"/>
  <c r="H25" i="10" s="1"/>
  <c r="E24" i="10"/>
  <c r="H24" i="10" s="1"/>
  <c r="E23" i="10"/>
  <c r="H23" i="10" s="1"/>
  <c r="E22" i="10"/>
  <c r="H22" i="10" s="1"/>
  <c r="E21" i="10"/>
  <c r="H21" i="10" s="1"/>
  <c r="F18" i="10"/>
  <c r="G16" i="10"/>
  <c r="G19" i="10" s="1"/>
  <c r="E16" i="10"/>
  <c r="I16" i="10" s="1"/>
  <c r="I17" i="10" s="1"/>
  <c r="I18" i="10" s="1"/>
  <c r="D16" i="10"/>
  <c r="D19" i="10" s="1"/>
  <c r="F11" i="10"/>
  <c r="F10" i="10"/>
  <c r="F9" i="10"/>
  <c r="F8" i="10"/>
  <c r="I6" i="10"/>
  <c r="F7" i="10"/>
  <c r="F6" i="10" s="1"/>
  <c r="E19" i="10" l="1"/>
  <c r="H16" i="10"/>
  <c r="N15" i="1"/>
  <c r="N22" i="1"/>
  <c r="G31" i="10"/>
  <c r="D17" i="10"/>
  <c r="D18" i="10" s="1"/>
  <c r="E17" i="10"/>
  <c r="G17" i="10"/>
  <c r="G18" i="10" s="1"/>
  <c r="H19" i="10" l="1"/>
  <c r="J27" i="10"/>
  <c r="E30" i="10"/>
  <c r="I30" i="10" s="1"/>
  <c r="E28" i="10"/>
  <c r="I28" i="10" s="1"/>
  <c r="E31" i="10"/>
  <c r="I31" i="10" s="1"/>
  <c r="E29" i="10"/>
  <c r="I29" i="10" s="1"/>
  <c r="E27" i="10"/>
  <c r="I27" i="10" s="1"/>
  <c r="G28" i="10"/>
  <c r="G27" i="10"/>
  <c r="G29" i="10"/>
  <c r="G30" i="10"/>
  <c r="E18" i="10"/>
  <c r="H18" i="10" s="1"/>
  <c r="H17" i="10"/>
  <c r="F76" i="11"/>
  <c r="F75" i="11"/>
  <c r="F74" i="11"/>
  <c r="F26" i="11"/>
  <c r="F25" i="11"/>
  <c r="U11" i="1" l="1"/>
  <c r="U12" i="1"/>
  <c r="U13" i="1"/>
  <c r="U10" i="1"/>
  <c r="W11" i="1"/>
  <c r="W12" i="1"/>
  <c r="W13" i="1"/>
  <c r="W10" i="1"/>
  <c r="O10" i="1"/>
  <c r="Q10" i="1"/>
  <c r="O11" i="1"/>
  <c r="Q11" i="1"/>
  <c r="O12" i="1"/>
  <c r="Q12" i="1"/>
  <c r="O13" i="1"/>
  <c r="Q13" i="1"/>
  <c r="Q14" i="1"/>
  <c r="H9" i="14"/>
  <c r="H10" i="14"/>
  <c r="H11" i="14"/>
  <c r="H12" i="14"/>
  <c r="H13" i="14"/>
  <c r="H8" i="14"/>
  <c r="O20" i="1" l="1"/>
  <c r="O14" i="1"/>
  <c r="O15" i="1"/>
  <c r="F16" i="10"/>
  <c r="F19" i="10" s="1"/>
  <c r="Q15" i="1"/>
  <c r="Q22" i="1"/>
  <c r="Q17" i="1"/>
  <c r="Q23" i="1"/>
  <c r="M6" i="10"/>
  <c r="O22" i="1" l="1"/>
  <c r="O21" i="1"/>
  <c r="O23" i="1" s="1"/>
  <c r="F17" i="10"/>
  <c r="Q20" i="1"/>
  <c r="Q18" i="1"/>
  <c r="T21" i="11"/>
  <c r="T22" i="11" s="1"/>
  <c r="N15" i="11"/>
  <c r="N16" i="11" s="1"/>
  <c r="N17" i="11" s="1"/>
  <c r="O15" i="11"/>
  <c r="O18" i="11" s="1"/>
  <c r="P15" i="11"/>
  <c r="P16" i="11" s="1"/>
  <c r="P17" i="11" s="1"/>
  <c r="Q15" i="11"/>
  <c r="Q18" i="11" s="1"/>
  <c r="R15" i="11"/>
  <c r="R16" i="11" s="1"/>
  <c r="R17" i="11" s="1"/>
  <c r="S15" i="11"/>
  <c r="S18" i="11" s="1"/>
  <c r="T15" i="11"/>
  <c r="T16" i="11" s="1"/>
  <c r="T17" i="11" s="1"/>
  <c r="J14" i="14"/>
  <c r="J15" i="14"/>
  <c r="X10" i="1"/>
  <c r="X13" i="1" s="1"/>
  <c r="Y13" i="1" l="1"/>
  <c r="X12" i="1"/>
  <c r="Y10" i="1"/>
  <c r="X11" i="1"/>
  <c r="Q19" i="1"/>
  <c r="Q21" i="1"/>
  <c r="S16" i="11"/>
  <c r="S17" i="11" s="1"/>
  <c r="Q16" i="11"/>
  <c r="Q17" i="11" s="1"/>
  <c r="O16" i="11"/>
  <c r="O17" i="11" s="1"/>
  <c r="R18" i="11"/>
  <c r="P18" i="11"/>
  <c r="N18" i="11"/>
  <c r="V20" i="1"/>
  <c r="V14" i="1"/>
  <c r="Y12" i="1" l="1"/>
  <c r="X14" i="1"/>
  <c r="X15" i="1" s="1"/>
  <c r="Y15" i="1" s="1"/>
  <c r="X22" i="1"/>
  <c r="Y22" i="1" s="1"/>
  <c r="Y11" i="1"/>
  <c r="X23" i="1"/>
  <c r="Y23" i="1" s="1"/>
  <c r="V22" i="1"/>
  <c r="V15" i="1"/>
  <c r="V21" i="1"/>
  <c r="V17" i="1"/>
  <c r="X17" i="1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12" i="10"/>
  <c r="M13" i="10"/>
  <c r="M14" i="10"/>
  <c r="M15" i="10"/>
  <c r="M8" i="10"/>
  <c r="M9" i="10"/>
  <c r="M10" i="10"/>
  <c r="M7" i="10"/>
  <c r="K25" i="10"/>
  <c r="M25" i="10" s="1"/>
  <c r="K24" i="10"/>
  <c r="M24" i="10" s="1"/>
  <c r="K23" i="10"/>
  <c r="M23" i="10" s="1"/>
  <c r="K22" i="10"/>
  <c r="M22" i="10" s="1"/>
  <c r="K21" i="10"/>
  <c r="M21" i="10" s="1"/>
  <c r="J16" i="10"/>
  <c r="X20" i="1" l="1"/>
  <c r="X21" i="1" s="1"/>
  <c r="Y21" i="1" s="1"/>
  <c r="Y14" i="1"/>
  <c r="Y20" i="1"/>
  <c r="V23" i="1"/>
  <c r="V18" i="1"/>
  <c r="T24" i="11" s="1"/>
  <c r="X18" i="1"/>
  <c r="Y17" i="1"/>
  <c r="M16" i="10"/>
  <c r="J17" i="10"/>
  <c r="J18" i="10" s="1"/>
  <c r="M18" i="10" s="1"/>
  <c r="J19" i="10"/>
  <c r="M17" i="10"/>
  <c r="N14" i="14"/>
  <c r="N15" i="14"/>
  <c r="C67" i="13"/>
  <c r="G45" i="13"/>
  <c r="E36" i="13"/>
  <c r="D36" i="13"/>
  <c r="H36" i="13" s="1"/>
  <c r="E35" i="13"/>
  <c r="D35" i="13"/>
  <c r="H35" i="13" s="1"/>
  <c r="F34" i="13"/>
  <c r="E34" i="13"/>
  <c r="D34" i="13"/>
  <c r="F33" i="13"/>
  <c r="G33" i="13" s="1"/>
  <c r="E33" i="13"/>
  <c r="D33" i="13"/>
  <c r="F32" i="13"/>
  <c r="E32" i="13"/>
  <c r="D32" i="13"/>
  <c r="D31" i="13"/>
  <c r="H24" i="13"/>
  <c r="H23" i="13"/>
  <c r="H22" i="13"/>
  <c r="G22" i="13"/>
  <c r="H21" i="13"/>
  <c r="G21" i="13"/>
  <c r="H20" i="13"/>
  <c r="G20" i="13"/>
  <c r="G19" i="13"/>
  <c r="E14" i="13"/>
  <c r="E13" i="13"/>
  <c r="E12" i="13"/>
  <c r="E11" i="13"/>
  <c r="E42" i="13" s="1"/>
  <c r="D11" i="13"/>
  <c r="D42" i="13" s="1"/>
  <c r="E10" i="13"/>
  <c r="D10" i="13"/>
  <c r="D41" i="13" s="1"/>
  <c r="E9" i="13"/>
  <c r="E40" i="13" s="1"/>
  <c r="E8" i="13"/>
  <c r="D8" i="13"/>
  <c r="D39" i="13" s="1"/>
  <c r="E7" i="13"/>
  <c r="D7" i="13"/>
  <c r="D38" i="13" s="1"/>
  <c r="I6" i="13"/>
  <c r="E6" i="13"/>
  <c r="K6" i="13" s="1"/>
  <c r="D6" i="13"/>
  <c r="C54" i="12"/>
  <c r="C55" i="12" s="1"/>
  <c r="H36" i="12"/>
  <c r="G29" i="12"/>
  <c r="F29" i="12"/>
  <c r="E29" i="12"/>
  <c r="G28" i="12"/>
  <c r="H28" i="12" s="1"/>
  <c r="F28" i="12"/>
  <c r="E28" i="12"/>
  <c r="G27" i="12"/>
  <c r="F27" i="12"/>
  <c r="E27" i="12"/>
  <c r="E26" i="12"/>
  <c r="I21" i="12"/>
  <c r="H21" i="12"/>
  <c r="I20" i="12"/>
  <c r="H20" i="12"/>
  <c r="I19" i="12"/>
  <c r="H19" i="12"/>
  <c r="H18" i="12"/>
  <c r="F13" i="12"/>
  <c r="G13" i="12" s="1"/>
  <c r="F12" i="12"/>
  <c r="G12" i="12" s="1"/>
  <c r="H12" i="12" s="1"/>
  <c r="F11" i="12"/>
  <c r="G11" i="12" s="1"/>
  <c r="F10" i="12"/>
  <c r="F9" i="12"/>
  <c r="F32" i="12" s="1"/>
  <c r="E9" i="12"/>
  <c r="E32" i="12" s="1"/>
  <c r="F8" i="12"/>
  <c r="E8" i="12"/>
  <c r="E31" i="12" s="1"/>
  <c r="J7" i="12"/>
  <c r="F7" i="12"/>
  <c r="E7" i="12"/>
  <c r="D36" i="10"/>
  <c r="D37" i="10"/>
  <c r="E36" i="10"/>
  <c r="H36" i="10" s="1"/>
  <c r="E37" i="10"/>
  <c r="H37" i="10" s="1"/>
  <c r="E42" i="10"/>
  <c r="E8" i="11"/>
  <c r="G8" i="11" s="1"/>
  <c r="F8" i="11"/>
  <c r="L8" i="11" s="1"/>
  <c r="L15" i="11" s="1"/>
  <c r="J8" i="11"/>
  <c r="M8" i="11" s="1"/>
  <c r="M15" i="11" s="1"/>
  <c r="M16" i="11" s="1"/>
  <c r="M17" i="11" s="1"/>
  <c r="K8" i="11"/>
  <c r="K15" i="11" s="1"/>
  <c r="E9" i="11"/>
  <c r="G9" i="11" s="1"/>
  <c r="F9" i="11"/>
  <c r="E10" i="11"/>
  <c r="G10" i="11" s="1"/>
  <c r="F10" i="11"/>
  <c r="F11" i="11"/>
  <c r="F12" i="11"/>
  <c r="G12" i="11" s="1"/>
  <c r="F13" i="11"/>
  <c r="G13" i="11" s="1"/>
  <c r="H13" i="11" s="1"/>
  <c r="F14" i="11"/>
  <c r="G14" i="11" s="1"/>
  <c r="H19" i="11"/>
  <c r="H20" i="11"/>
  <c r="I20" i="11"/>
  <c r="H21" i="11"/>
  <c r="I21" i="11"/>
  <c r="H22" i="11"/>
  <c r="I22" i="11"/>
  <c r="C55" i="11"/>
  <c r="H37" i="11"/>
  <c r="G30" i="11"/>
  <c r="F30" i="11"/>
  <c r="E30" i="11"/>
  <c r="G29" i="11"/>
  <c r="F29" i="11"/>
  <c r="E29" i="11"/>
  <c r="G28" i="11"/>
  <c r="F28" i="11"/>
  <c r="E28" i="11"/>
  <c r="C68" i="10"/>
  <c r="G46" i="10"/>
  <c r="F35" i="10"/>
  <c r="E35" i="10"/>
  <c r="H35" i="10" s="1"/>
  <c r="D35" i="10"/>
  <c r="F34" i="10"/>
  <c r="E34" i="10"/>
  <c r="D34" i="10"/>
  <c r="F33" i="10"/>
  <c r="E33" i="10"/>
  <c r="H33" i="10" s="1"/>
  <c r="D33" i="10"/>
  <c r="D39" i="10" s="1"/>
  <c r="F29" i="9"/>
  <c r="F28" i="9"/>
  <c r="F27" i="9"/>
  <c r="G18" i="9"/>
  <c r="G19" i="9"/>
  <c r="G20" i="9"/>
  <c r="G21" i="9"/>
  <c r="G36" i="9"/>
  <c r="H34" i="10" l="1"/>
  <c r="T76" i="11"/>
  <c r="T25" i="11"/>
  <c r="T26" i="11"/>
  <c r="T18" i="11"/>
  <c r="V19" i="1"/>
  <c r="X19" i="1"/>
  <c r="Y19" i="1" s="1"/>
  <c r="Y18" i="1"/>
  <c r="S6" i="10"/>
  <c r="E27" i="11"/>
  <c r="H14" i="11"/>
  <c r="G15" i="11"/>
  <c r="H12" i="11"/>
  <c r="G16" i="11"/>
  <c r="G17" i="11" s="1"/>
  <c r="K16" i="11"/>
  <c r="K17" i="11" s="1"/>
  <c r="L16" i="11"/>
  <c r="L17" i="11" s="1"/>
  <c r="L35" i="11"/>
  <c r="M35" i="11" s="1"/>
  <c r="K10" i="11"/>
  <c r="K9" i="11"/>
  <c r="E32" i="11"/>
  <c r="E33" i="11"/>
  <c r="L9" i="11"/>
  <c r="D40" i="10"/>
  <c r="D32" i="10"/>
  <c r="Q33" i="10" s="1"/>
  <c r="K31" i="10"/>
  <c r="K30" i="10"/>
  <c r="K29" i="10"/>
  <c r="K10" i="14" s="1"/>
  <c r="K28" i="10"/>
  <c r="K9" i="14" s="1"/>
  <c r="M19" i="10"/>
  <c r="K27" i="10"/>
  <c r="T20" i="1"/>
  <c r="I8" i="11"/>
  <c r="H10" i="11"/>
  <c r="I9" i="11"/>
  <c r="K27" i="12"/>
  <c r="K29" i="12"/>
  <c r="J32" i="13"/>
  <c r="J34" i="13"/>
  <c r="K28" i="12"/>
  <c r="J33" i="13"/>
  <c r="E43" i="10"/>
  <c r="I10" i="11"/>
  <c r="L10" i="12"/>
  <c r="F15" i="11"/>
  <c r="F16" i="11" s="1"/>
  <c r="L34" i="12"/>
  <c r="M34" i="12" s="1"/>
  <c r="F14" i="12"/>
  <c r="F17" i="12" s="1"/>
  <c r="F25" i="12" s="1"/>
  <c r="K8" i="13"/>
  <c r="K10" i="13"/>
  <c r="E15" i="13"/>
  <c r="E16" i="13" s="1"/>
  <c r="K43" i="13"/>
  <c r="L43" i="13" s="1"/>
  <c r="H42" i="13"/>
  <c r="F6" i="13"/>
  <c r="H6" i="13"/>
  <c r="J6" i="13"/>
  <c r="L6" i="13"/>
  <c r="K7" i="13"/>
  <c r="F8" i="13"/>
  <c r="H8" i="13"/>
  <c r="J8" i="13"/>
  <c r="K9" i="13"/>
  <c r="H10" i="13"/>
  <c r="J10" i="13"/>
  <c r="K11" i="13"/>
  <c r="F12" i="13"/>
  <c r="F13" i="13"/>
  <c r="G13" i="13" s="1"/>
  <c r="F14" i="13"/>
  <c r="E31" i="13"/>
  <c r="H32" i="13"/>
  <c r="H34" i="13"/>
  <c r="E38" i="13"/>
  <c r="E39" i="13"/>
  <c r="H39" i="13" s="1"/>
  <c r="E41" i="13"/>
  <c r="H41" i="13" s="1"/>
  <c r="C68" i="13"/>
  <c r="F7" i="13"/>
  <c r="H7" i="13"/>
  <c r="J7" i="13"/>
  <c r="H11" i="13"/>
  <c r="J11" i="13"/>
  <c r="G32" i="13"/>
  <c r="K32" i="13"/>
  <c r="H33" i="13"/>
  <c r="G34" i="13"/>
  <c r="I32" i="12"/>
  <c r="L7" i="12"/>
  <c r="G8" i="12"/>
  <c r="I8" i="12"/>
  <c r="K8" i="12"/>
  <c r="L9" i="12"/>
  <c r="H11" i="12"/>
  <c r="H13" i="12"/>
  <c r="F26" i="12"/>
  <c r="I27" i="12"/>
  <c r="I29" i="12"/>
  <c r="F31" i="12"/>
  <c r="F33" i="12"/>
  <c r="G7" i="12"/>
  <c r="I7" i="12"/>
  <c r="K7" i="12"/>
  <c r="M7" i="12"/>
  <c r="L8" i="12"/>
  <c r="G9" i="12"/>
  <c r="I9" i="12"/>
  <c r="K9" i="12"/>
  <c r="H27" i="12"/>
  <c r="L27" i="12"/>
  <c r="I28" i="12"/>
  <c r="H29" i="12"/>
  <c r="C56" i="12"/>
  <c r="L10" i="11"/>
  <c r="F17" i="11"/>
  <c r="F33" i="11"/>
  <c r="I33" i="11" s="1"/>
  <c r="L11" i="11"/>
  <c r="H9" i="11"/>
  <c r="H8" i="11"/>
  <c r="D43" i="10"/>
  <c r="D42" i="10"/>
  <c r="H42" i="10" s="1"/>
  <c r="Q7" i="10"/>
  <c r="Q10" i="10"/>
  <c r="R10" i="10"/>
  <c r="Q11" i="10"/>
  <c r="R11" i="10"/>
  <c r="G34" i="10"/>
  <c r="K28" i="11"/>
  <c r="K30" i="11"/>
  <c r="K29" i="11"/>
  <c r="H29" i="11"/>
  <c r="F27" i="11"/>
  <c r="L30" i="11" s="1"/>
  <c r="I28" i="11"/>
  <c r="I30" i="11"/>
  <c r="F32" i="11"/>
  <c r="F34" i="11"/>
  <c r="C56" i="11"/>
  <c r="H28" i="11"/>
  <c r="I29" i="11"/>
  <c r="H30" i="11"/>
  <c r="R9" i="10"/>
  <c r="R44" i="10"/>
  <c r="S44" i="10" s="1"/>
  <c r="R6" i="10"/>
  <c r="R8" i="10"/>
  <c r="E32" i="10"/>
  <c r="R33" i="10" s="1"/>
  <c r="E39" i="10"/>
  <c r="H39" i="10" s="1"/>
  <c r="E40" i="10"/>
  <c r="H40" i="10" s="1"/>
  <c r="E41" i="10"/>
  <c r="C69" i="10"/>
  <c r="Q6" i="10"/>
  <c r="R7" i="10"/>
  <c r="Q8" i="10"/>
  <c r="G33" i="10"/>
  <c r="G35" i="10"/>
  <c r="E29" i="9"/>
  <c r="G29" i="9" s="1"/>
  <c r="E28" i="9"/>
  <c r="G28" i="9" s="1"/>
  <c r="E27" i="9"/>
  <c r="G27" i="9" s="1"/>
  <c r="C54" i="9"/>
  <c r="C55" i="9" s="1"/>
  <c r="D29" i="9"/>
  <c r="D28" i="9"/>
  <c r="D27" i="9"/>
  <c r="H21" i="9"/>
  <c r="H20" i="9"/>
  <c r="H19" i="9"/>
  <c r="E13" i="9"/>
  <c r="F13" i="9" s="1"/>
  <c r="G13" i="9" s="1"/>
  <c r="E12" i="9"/>
  <c r="F12" i="9" s="1"/>
  <c r="G12" i="9" s="1"/>
  <c r="E11" i="9"/>
  <c r="E8" i="9"/>
  <c r="E7" i="9"/>
  <c r="D7" i="9"/>
  <c r="E6" i="9"/>
  <c r="D6" i="9"/>
  <c r="F6" i="9" s="1"/>
  <c r="I5" i="9"/>
  <c r="L5" i="9" s="1"/>
  <c r="E5" i="9"/>
  <c r="D5" i="9"/>
  <c r="F5" i="9" s="1"/>
  <c r="C52" i="8"/>
  <c r="E27" i="8"/>
  <c r="D27" i="8"/>
  <c r="E26" i="8"/>
  <c r="D26" i="8"/>
  <c r="E25" i="8"/>
  <c r="D25" i="8"/>
  <c r="E11" i="8"/>
  <c r="E10" i="8"/>
  <c r="E9" i="8"/>
  <c r="E8" i="8"/>
  <c r="E7" i="8"/>
  <c r="D7" i="8"/>
  <c r="D30" i="8" s="1"/>
  <c r="E6" i="8"/>
  <c r="E29" i="8" s="1"/>
  <c r="D6" i="8"/>
  <c r="D29" i="8" s="1"/>
  <c r="G5" i="8"/>
  <c r="E5" i="8"/>
  <c r="D5" i="8"/>
  <c r="E8" i="5"/>
  <c r="E7" i="5"/>
  <c r="E6" i="5"/>
  <c r="D7" i="5"/>
  <c r="D6" i="5"/>
  <c r="H6" i="5" s="1"/>
  <c r="D5" i="5"/>
  <c r="H5" i="5" s="1"/>
  <c r="K8" i="14" l="1"/>
  <c r="L27" i="10"/>
  <c r="E18" i="13"/>
  <c r="H43" i="10"/>
  <c r="R34" i="10"/>
  <c r="H32" i="10"/>
  <c r="F31" i="10"/>
  <c r="H31" i="10"/>
  <c r="F30" i="10"/>
  <c r="H30" i="10"/>
  <c r="F27" i="10"/>
  <c r="H27" i="10"/>
  <c r="F29" i="10"/>
  <c r="H29" i="10"/>
  <c r="F28" i="10"/>
  <c r="H28" i="10"/>
  <c r="U20" i="1"/>
  <c r="W20" i="1"/>
  <c r="T74" i="11"/>
  <c r="K11" i="14"/>
  <c r="K12" i="14"/>
  <c r="K13" i="14" s="1"/>
  <c r="T75" i="11"/>
  <c r="H15" i="11"/>
  <c r="Q34" i="10"/>
  <c r="Q35" i="10"/>
  <c r="T21" i="1"/>
  <c r="E26" i="13"/>
  <c r="F15" i="12"/>
  <c r="F16" i="12" s="1"/>
  <c r="E29" i="13"/>
  <c r="F18" i="11"/>
  <c r="E27" i="13"/>
  <c r="L28" i="11"/>
  <c r="G7" i="5"/>
  <c r="I8" i="13"/>
  <c r="J9" i="12"/>
  <c r="J10" i="11"/>
  <c r="E11" i="11"/>
  <c r="D9" i="13"/>
  <c r="E10" i="12"/>
  <c r="I11" i="13"/>
  <c r="I6" i="9"/>
  <c r="J9" i="11"/>
  <c r="I7" i="13"/>
  <c r="J8" i="12"/>
  <c r="I10" i="13"/>
  <c r="F24" i="12"/>
  <c r="F23" i="12"/>
  <c r="G31" i="13"/>
  <c r="H31" i="13"/>
  <c r="G14" i="13"/>
  <c r="F15" i="13"/>
  <c r="F16" i="13" s="1"/>
  <c r="F39" i="13"/>
  <c r="G39" i="13" s="1"/>
  <c r="G8" i="13"/>
  <c r="K33" i="13"/>
  <c r="E17" i="13"/>
  <c r="F38" i="13"/>
  <c r="G7" i="13"/>
  <c r="C69" i="13"/>
  <c r="H38" i="13"/>
  <c r="E37" i="13"/>
  <c r="G12" i="13"/>
  <c r="G6" i="13"/>
  <c r="K5" i="13"/>
  <c r="K34" i="13"/>
  <c r="H7" i="12"/>
  <c r="H26" i="12"/>
  <c r="I26" i="12"/>
  <c r="G14" i="12"/>
  <c r="L28" i="12"/>
  <c r="G32" i="12"/>
  <c r="H32" i="12" s="1"/>
  <c r="H9" i="12"/>
  <c r="I31" i="12"/>
  <c r="F30" i="12"/>
  <c r="G31" i="12"/>
  <c r="H8" i="12"/>
  <c r="L29" i="12"/>
  <c r="H7" i="5"/>
  <c r="E38" i="10"/>
  <c r="R5" i="10"/>
  <c r="F31" i="9"/>
  <c r="G6" i="9"/>
  <c r="G33" i="11"/>
  <c r="H33" i="11" s="1"/>
  <c r="C57" i="11"/>
  <c r="I32" i="11"/>
  <c r="F31" i="11"/>
  <c r="H27" i="11"/>
  <c r="I27" i="11"/>
  <c r="G32" i="11"/>
  <c r="L29" i="11"/>
  <c r="F39" i="10"/>
  <c r="F40" i="10"/>
  <c r="G40" i="10" s="1"/>
  <c r="C70" i="10"/>
  <c r="C71" i="10" s="1"/>
  <c r="G32" i="10"/>
  <c r="R35" i="10"/>
  <c r="F11" i="9"/>
  <c r="G11" i="9" s="1"/>
  <c r="K5" i="9"/>
  <c r="G5" i="9"/>
  <c r="L6" i="9"/>
  <c r="F14" i="9"/>
  <c r="D32" i="9"/>
  <c r="F7" i="9"/>
  <c r="H6" i="9"/>
  <c r="D31" i="9"/>
  <c r="D8" i="8"/>
  <c r="D31" i="8" s="1"/>
  <c r="D28" i="8" s="1"/>
  <c r="D32" i="8" s="1"/>
  <c r="G6" i="8"/>
  <c r="G17" i="8" s="1"/>
  <c r="G25" i="8" s="1"/>
  <c r="G8" i="8"/>
  <c r="G6" i="5"/>
  <c r="G8" i="5"/>
  <c r="I7" i="9"/>
  <c r="L7" i="9" s="1"/>
  <c r="D8" i="9"/>
  <c r="E14" i="9"/>
  <c r="E15" i="9" s="1"/>
  <c r="H28" i="9"/>
  <c r="D8" i="5"/>
  <c r="H8" i="5" s="1"/>
  <c r="E30" i="8"/>
  <c r="F30" i="8" s="1"/>
  <c r="E31" i="8"/>
  <c r="F31" i="8" s="1"/>
  <c r="G7" i="8"/>
  <c r="K7" i="9"/>
  <c r="H8" i="9"/>
  <c r="D26" i="9"/>
  <c r="J29" i="9" s="1"/>
  <c r="K34" i="9"/>
  <c r="L34" i="9" s="1"/>
  <c r="H5" i="9"/>
  <c r="J5" i="9"/>
  <c r="K6" i="9"/>
  <c r="H7" i="9"/>
  <c r="J7" i="9"/>
  <c r="K8" i="9"/>
  <c r="H27" i="9"/>
  <c r="H29" i="9"/>
  <c r="E31" i="9"/>
  <c r="E32" i="9"/>
  <c r="E33" i="9"/>
  <c r="J6" i="9"/>
  <c r="J8" i="9"/>
  <c r="I19" i="9"/>
  <c r="I27" i="9" s="1"/>
  <c r="E26" i="9"/>
  <c r="G26" i="9" s="1"/>
  <c r="C56" i="9"/>
  <c r="E12" i="8"/>
  <c r="E15" i="8" s="1"/>
  <c r="E22" i="8" s="1"/>
  <c r="I32" i="8"/>
  <c r="J32" i="8" s="1"/>
  <c r="F29" i="8"/>
  <c r="E28" i="8"/>
  <c r="C53" i="8"/>
  <c r="F5" i="8"/>
  <c r="F6" i="8"/>
  <c r="F7" i="8"/>
  <c r="F8" i="8"/>
  <c r="G18" i="8"/>
  <c r="G26" i="8" s="1"/>
  <c r="G19" i="8"/>
  <c r="G27" i="8" s="1"/>
  <c r="E30" i="13" l="1"/>
  <c r="E28" i="13"/>
  <c r="L21" i="13" s="1"/>
  <c r="U21" i="1"/>
  <c r="W21" i="1"/>
  <c r="H16" i="11"/>
  <c r="H17" i="11" s="1"/>
  <c r="E17" i="9"/>
  <c r="E23" i="9" s="1"/>
  <c r="J29" i="10"/>
  <c r="L29" i="10" s="1"/>
  <c r="J31" i="10"/>
  <c r="L31" i="10" s="1"/>
  <c r="J28" i="10"/>
  <c r="L28" i="10" s="1"/>
  <c r="J30" i="10"/>
  <c r="L30" i="10" s="1"/>
  <c r="T22" i="1"/>
  <c r="T23" i="1"/>
  <c r="S10" i="10"/>
  <c r="S7" i="10"/>
  <c r="L7" i="13"/>
  <c r="I20" i="13"/>
  <c r="I32" i="13" s="1"/>
  <c r="S11" i="10"/>
  <c r="E33" i="12"/>
  <c r="I10" i="12"/>
  <c r="G10" i="12"/>
  <c r="K10" i="12"/>
  <c r="G11" i="11"/>
  <c r="G18" i="11" s="1"/>
  <c r="E34" i="11"/>
  <c r="K11" i="11"/>
  <c r="K18" i="11" s="1"/>
  <c r="I11" i="11"/>
  <c r="I8" i="9"/>
  <c r="I9" i="13"/>
  <c r="J10" i="12"/>
  <c r="M10" i="12" s="1"/>
  <c r="J11" i="11"/>
  <c r="J21" i="11"/>
  <c r="J29" i="11" s="1"/>
  <c r="M10" i="11"/>
  <c r="L8" i="13"/>
  <c r="I21" i="13"/>
  <c r="I33" i="13" s="1"/>
  <c r="L10" i="13"/>
  <c r="I23" i="13"/>
  <c r="I35" i="13" s="1"/>
  <c r="I41" i="13" s="1"/>
  <c r="J19" i="12"/>
  <c r="J27" i="12" s="1"/>
  <c r="M8" i="12"/>
  <c r="M9" i="11"/>
  <c r="J20" i="11"/>
  <c r="L11" i="13"/>
  <c r="I24" i="13"/>
  <c r="I36" i="13" s="1"/>
  <c r="I42" i="13" s="1"/>
  <c r="D40" i="13"/>
  <c r="F9" i="13"/>
  <c r="J9" i="13"/>
  <c r="J5" i="13" s="1"/>
  <c r="I22" i="13"/>
  <c r="I34" i="13" s="1"/>
  <c r="H9" i="13"/>
  <c r="D41" i="10"/>
  <c r="H41" i="10" s="1"/>
  <c r="Q9" i="10"/>
  <c r="Q5" i="10" s="1"/>
  <c r="S8" i="10"/>
  <c r="M9" i="12"/>
  <c r="J20" i="12"/>
  <c r="J28" i="12" s="1"/>
  <c r="M20" i="12"/>
  <c r="F74" i="12"/>
  <c r="G16" i="13"/>
  <c r="F17" i="13"/>
  <c r="G17" i="13" s="1"/>
  <c r="C70" i="13"/>
  <c r="E43" i="13"/>
  <c r="G38" i="13"/>
  <c r="G15" i="13"/>
  <c r="F18" i="13"/>
  <c r="H31" i="12"/>
  <c r="G17" i="12"/>
  <c r="H14" i="12"/>
  <c r="G15" i="12"/>
  <c r="F34" i="12"/>
  <c r="I20" i="9"/>
  <c r="I28" i="9" s="1"/>
  <c r="I32" i="9" s="1"/>
  <c r="G31" i="9"/>
  <c r="C72" i="10"/>
  <c r="G7" i="9"/>
  <c r="F32" i="9"/>
  <c r="G32" i="9" s="1"/>
  <c r="Z25" i="11"/>
  <c r="F35" i="11"/>
  <c r="H32" i="11"/>
  <c r="G39" i="10"/>
  <c r="E44" i="10"/>
  <c r="G14" i="9"/>
  <c r="E13" i="8"/>
  <c r="E14" i="8" s="1"/>
  <c r="F15" i="9"/>
  <c r="D33" i="9"/>
  <c r="F8" i="9"/>
  <c r="H32" i="9"/>
  <c r="F17" i="9"/>
  <c r="D30" i="9"/>
  <c r="D34" i="9" s="1"/>
  <c r="H26" i="9"/>
  <c r="H33" i="9"/>
  <c r="J28" i="9"/>
  <c r="J27" i="9"/>
  <c r="H31" i="9"/>
  <c r="E30" i="9"/>
  <c r="K28" i="9"/>
  <c r="K29" i="9"/>
  <c r="E16" i="9"/>
  <c r="K27" i="9"/>
  <c r="I31" i="9"/>
  <c r="E21" i="8"/>
  <c r="C54" i="8"/>
  <c r="F28" i="8"/>
  <c r="E32" i="8"/>
  <c r="G30" i="8"/>
  <c r="G24" i="8"/>
  <c r="J26" i="8" s="1"/>
  <c r="G29" i="8"/>
  <c r="E23" i="8"/>
  <c r="G31" i="8"/>
  <c r="F17" i="5"/>
  <c r="F18" i="5"/>
  <c r="F19" i="5"/>
  <c r="C52" i="5"/>
  <c r="C53" i="5" s="1"/>
  <c r="E27" i="5"/>
  <c r="D27" i="5"/>
  <c r="E26" i="5"/>
  <c r="D26" i="5"/>
  <c r="E25" i="5"/>
  <c r="D25" i="5"/>
  <c r="E24" i="5"/>
  <c r="D24" i="5"/>
  <c r="E11" i="5"/>
  <c r="E10" i="5"/>
  <c r="E9" i="5"/>
  <c r="G5" i="5"/>
  <c r="J8" i="5" s="1"/>
  <c r="E5" i="5"/>
  <c r="E25" i="3"/>
  <c r="E26" i="3"/>
  <c r="E27" i="3"/>
  <c r="D27" i="3"/>
  <c r="D26" i="3"/>
  <c r="D25" i="3"/>
  <c r="C52" i="3"/>
  <c r="C53" i="3" s="1"/>
  <c r="C54" i="3" s="1"/>
  <c r="E11" i="3"/>
  <c r="E10" i="3"/>
  <c r="E9" i="3"/>
  <c r="F5" i="3"/>
  <c r="F8" i="3" s="1"/>
  <c r="E5" i="3"/>
  <c r="E8" i="3" s="1"/>
  <c r="D5" i="3"/>
  <c r="D6" i="3" s="1"/>
  <c r="D29" i="3" s="1"/>
  <c r="D7" i="2"/>
  <c r="D9" i="2" s="1"/>
  <c r="D11" i="2" s="1"/>
  <c r="E19" i="4"/>
  <c r="L19" i="4"/>
  <c r="M19" i="4"/>
  <c r="Q19" i="4"/>
  <c r="R19" i="4"/>
  <c r="W19" i="4"/>
  <c r="X19" i="4"/>
  <c r="AB19" i="4"/>
  <c r="AC19" i="4"/>
  <c r="E20" i="4"/>
  <c r="L20" i="4"/>
  <c r="M20" i="4"/>
  <c r="Q20" i="4"/>
  <c r="R20" i="4"/>
  <c r="W20" i="4"/>
  <c r="X20" i="4"/>
  <c r="AB20" i="4"/>
  <c r="AC20" i="4"/>
  <c r="P7" i="4"/>
  <c r="P19" i="4" s="1"/>
  <c r="O7" i="4"/>
  <c r="O19" i="4" s="1"/>
  <c r="G7" i="4"/>
  <c r="G8" i="4" s="1"/>
  <c r="G20" i="4" s="1"/>
  <c r="F7" i="4"/>
  <c r="F19" i="4" s="1"/>
  <c r="V30" i="4"/>
  <c r="V29" i="4"/>
  <c r="I29" i="4"/>
  <c r="V28" i="4"/>
  <c r="V27" i="4" s="1"/>
  <c r="D18" i="2"/>
  <c r="F16" i="2"/>
  <c r="G16" i="2" s="1"/>
  <c r="H16" i="2" s="1"/>
  <c r="E16" i="2"/>
  <c r="F15" i="2"/>
  <c r="G15" i="2" s="1"/>
  <c r="H15" i="2" s="1"/>
  <c r="E15" i="2"/>
  <c r="D19" i="2"/>
  <c r="G14" i="2"/>
  <c r="H14" i="2" s="1"/>
  <c r="D13" i="2"/>
  <c r="F6" i="2"/>
  <c r="F7" i="2" s="1"/>
  <c r="S48" i="1"/>
  <c r="F37" i="1"/>
  <c r="K35" i="1"/>
  <c r="I35" i="1"/>
  <c r="K30" i="1"/>
  <c r="I30" i="1"/>
  <c r="AF28" i="1"/>
  <c r="AE28" i="1"/>
  <c r="AD28" i="1"/>
  <c r="AC28" i="1"/>
  <c r="Z28" i="1"/>
  <c r="AF27" i="1"/>
  <c r="AE27" i="1"/>
  <c r="AD27" i="1"/>
  <c r="AC27" i="1"/>
  <c r="Z27" i="1"/>
  <c r="AF26" i="1"/>
  <c r="AE26" i="1"/>
  <c r="AD26" i="1"/>
  <c r="AC26" i="1"/>
  <c r="G22" i="1"/>
  <c r="G20" i="1" s="1"/>
  <c r="E18" i="1"/>
  <c r="AC16" i="1"/>
  <c r="AE14" i="1"/>
  <c r="AD14" i="1"/>
  <c r="G14" i="1"/>
  <c r="E13" i="1"/>
  <c r="H13" i="1" s="1"/>
  <c r="E12" i="1"/>
  <c r="AE11" i="1"/>
  <c r="E11" i="1"/>
  <c r="H11" i="1" s="1"/>
  <c r="AD10" i="1"/>
  <c r="M10" i="1"/>
  <c r="H10" i="1"/>
  <c r="F10" i="1"/>
  <c r="B9" i="1"/>
  <c r="C9" i="1" s="1"/>
  <c r="D9" i="1" s="1"/>
  <c r="F9" i="1" s="1"/>
  <c r="I9" i="1" s="1"/>
  <c r="J9" i="1" s="1"/>
  <c r="K9" i="1" s="1"/>
  <c r="L9" i="1" s="1"/>
  <c r="U23" i="1" l="1"/>
  <c r="W23" i="1"/>
  <c r="U22" i="1"/>
  <c r="W22" i="1"/>
  <c r="J28" i="11"/>
  <c r="M28" i="10"/>
  <c r="J9" i="14"/>
  <c r="M31" i="10"/>
  <c r="J12" i="14"/>
  <c r="J13" i="14" s="1"/>
  <c r="M30" i="10"/>
  <c r="J11" i="14"/>
  <c r="M29" i="10"/>
  <c r="J10" i="14"/>
  <c r="M27" i="10"/>
  <c r="J8" i="14"/>
  <c r="N8" i="14" s="1"/>
  <c r="E24" i="9"/>
  <c r="E25" i="9"/>
  <c r="I33" i="10"/>
  <c r="I39" i="10" s="1"/>
  <c r="I36" i="10"/>
  <c r="I42" i="10" s="1"/>
  <c r="I34" i="10"/>
  <c r="I40" i="10" s="1"/>
  <c r="I37" i="10"/>
  <c r="I43" i="10" s="1"/>
  <c r="F73" i="12"/>
  <c r="E19" i="1"/>
  <c r="F19" i="1" s="1"/>
  <c r="D8" i="14"/>
  <c r="F41" i="10"/>
  <c r="D37" i="13"/>
  <c r="H40" i="13"/>
  <c r="J31" i="12"/>
  <c r="J33" i="11"/>
  <c r="S9" i="10"/>
  <c r="S5" i="10" s="1"/>
  <c r="L9" i="13"/>
  <c r="L5" i="13" s="1"/>
  <c r="I40" i="13"/>
  <c r="E31" i="11"/>
  <c r="I34" i="11"/>
  <c r="H11" i="11"/>
  <c r="H18" i="11" s="1"/>
  <c r="G34" i="11"/>
  <c r="E13" i="2"/>
  <c r="J32" i="12"/>
  <c r="D38" i="10"/>
  <c r="H38" i="10" s="1"/>
  <c r="G9" i="13"/>
  <c r="F40" i="13"/>
  <c r="J32" i="11"/>
  <c r="I39" i="13"/>
  <c r="M11" i="11"/>
  <c r="L8" i="9"/>
  <c r="I21" i="9"/>
  <c r="I29" i="9" s="1"/>
  <c r="I33" i="9" s="1"/>
  <c r="I30" i="9" s="1"/>
  <c r="I34" i="9" s="1"/>
  <c r="J22" i="11"/>
  <c r="J30" i="11" s="1"/>
  <c r="J27" i="11" s="1"/>
  <c r="J21" i="12"/>
  <c r="J29" i="12" s="1"/>
  <c r="J26" i="12" s="1"/>
  <c r="H10" i="12"/>
  <c r="G33" i="12"/>
  <c r="E30" i="12"/>
  <c r="I33" i="12"/>
  <c r="I31" i="13"/>
  <c r="L34" i="13" s="1"/>
  <c r="I38" i="13"/>
  <c r="I37" i="13" s="1"/>
  <c r="I43" i="13" s="1"/>
  <c r="D14" i="13"/>
  <c r="E14" i="11"/>
  <c r="E13" i="12"/>
  <c r="D9" i="5"/>
  <c r="C47" i="5" s="1"/>
  <c r="C48" i="5" s="1"/>
  <c r="C57" i="5" s="1"/>
  <c r="D12" i="13"/>
  <c r="E12" i="11"/>
  <c r="E11" i="12"/>
  <c r="E13" i="11"/>
  <c r="I13" i="11" s="1"/>
  <c r="D13" i="13"/>
  <c r="H13" i="13" s="1"/>
  <c r="E12" i="12"/>
  <c r="I12" i="12" s="1"/>
  <c r="AG26" i="1"/>
  <c r="AG28" i="1"/>
  <c r="C71" i="13"/>
  <c r="G18" i="13"/>
  <c r="F26" i="13"/>
  <c r="G26" i="13" s="1"/>
  <c r="F28" i="13"/>
  <c r="G28" i="13" s="1"/>
  <c r="F27" i="13"/>
  <c r="G27" i="13" s="1"/>
  <c r="E44" i="13"/>
  <c r="F35" i="12"/>
  <c r="G16" i="12"/>
  <c r="H16" i="12" s="1"/>
  <c r="H15" i="12"/>
  <c r="H17" i="12"/>
  <c r="G25" i="12"/>
  <c r="H25" i="12" s="1"/>
  <c r="G23" i="12"/>
  <c r="H23" i="12" s="1"/>
  <c r="G24" i="12"/>
  <c r="H24" i="12" s="1"/>
  <c r="J27" i="8"/>
  <c r="G8" i="9"/>
  <c r="F33" i="9"/>
  <c r="M21" i="11"/>
  <c r="G26" i="11"/>
  <c r="H26" i="11" s="1"/>
  <c r="G25" i="11"/>
  <c r="H25" i="11" s="1"/>
  <c r="G24" i="11"/>
  <c r="H24" i="11" s="1"/>
  <c r="F36" i="11"/>
  <c r="E45" i="10"/>
  <c r="S22" i="10"/>
  <c r="AD16" i="1"/>
  <c r="S10" i="1"/>
  <c r="E37" i="1"/>
  <c r="F13" i="1"/>
  <c r="AA7" i="4"/>
  <c r="AA19" i="4" s="1"/>
  <c r="F16" i="9"/>
  <c r="G16" i="9" s="1"/>
  <c r="G15" i="9"/>
  <c r="F25" i="9"/>
  <c r="F24" i="9"/>
  <c r="F23" i="9"/>
  <c r="G23" i="9" s="1"/>
  <c r="G17" i="9"/>
  <c r="AE10" i="1"/>
  <c r="F11" i="1"/>
  <c r="M13" i="1"/>
  <c r="F18" i="1"/>
  <c r="AG27" i="1"/>
  <c r="D13" i="9"/>
  <c r="D11" i="8"/>
  <c r="D11" i="3"/>
  <c r="D9" i="3"/>
  <c r="C47" i="3" s="1"/>
  <c r="C48" i="3" s="1"/>
  <c r="C49" i="3" s="1"/>
  <c r="K7" i="4"/>
  <c r="K19" i="4" s="1"/>
  <c r="I5" i="5"/>
  <c r="I7" i="5"/>
  <c r="I6" i="5"/>
  <c r="I8" i="5"/>
  <c r="D11" i="5"/>
  <c r="F11" i="5" s="1"/>
  <c r="F24" i="5"/>
  <c r="M11" i="1"/>
  <c r="AG30" i="1"/>
  <c r="D11" i="9"/>
  <c r="D9" i="8"/>
  <c r="D10" i="8"/>
  <c r="F10" i="8" s="1"/>
  <c r="D12" i="9"/>
  <c r="H12" i="9" s="1"/>
  <c r="D10" i="3"/>
  <c r="J7" i="4"/>
  <c r="J8" i="4" s="1"/>
  <c r="J20" i="4" s="1"/>
  <c r="C26" i="4"/>
  <c r="C35" i="2" s="1"/>
  <c r="C36" i="2" s="1"/>
  <c r="C37" i="2" s="1"/>
  <c r="E7" i="3"/>
  <c r="E30" i="3" s="1"/>
  <c r="E24" i="3"/>
  <c r="H27" i="3" s="1"/>
  <c r="J5" i="5"/>
  <c r="J7" i="5"/>
  <c r="D10" i="5"/>
  <c r="F10" i="5" s="1"/>
  <c r="J6" i="5"/>
  <c r="H30" i="9"/>
  <c r="E34" i="9"/>
  <c r="O8" i="4"/>
  <c r="O20" i="4" s="1"/>
  <c r="Z7" i="4"/>
  <c r="V7" i="4"/>
  <c r="P8" i="4"/>
  <c r="P20" i="4" s="1"/>
  <c r="AA8" i="4"/>
  <c r="AA20" i="4" s="1"/>
  <c r="G19" i="4"/>
  <c r="E6" i="3"/>
  <c r="E12" i="3"/>
  <c r="E13" i="3" s="1"/>
  <c r="E14" i="3" s="1"/>
  <c r="J25" i="8"/>
  <c r="F32" i="8"/>
  <c r="E33" i="8"/>
  <c r="G28" i="8"/>
  <c r="G32" i="8" s="1"/>
  <c r="H25" i="5"/>
  <c r="H26" i="5"/>
  <c r="H27" i="5"/>
  <c r="F5" i="5"/>
  <c r="I25" i="5"/>
  <c r="I26" i="5"/>
  <c r="I27" i="5"/>
  <c r="F26" i="5"/>
  <c r="F27" i="5"/>
  <c r="F25" i="5"/>
  <c r="E12" i="5"/>
  <c r="E13" i="5" s="1"/>
  <c r="D30" i="5"/>
  <c r="C54" i="5"/>
  <c r="D24" i="3"/>
  <c r="G25" i="3" s="1"/>
  <c r="E31" i="3"/>
  <c r="G27" i="3"/>
  <c r="F6" i="3"/>
  <c r="F7" i="3"/>
  <c r="D7" i="3"/>
  <c r="D8" i="3"/>
  <c r="D10" i="2"/>
  <c r="C7" i="4"/>
  <c r="F8" i="4"/>
  <c r="F20" i="4" s="1"/>
  <c r="D20" i="2"/>
  <c r="D17" i="2" s="1"/>
  <c r="Z11" i="1"/>
  <c r="H12" i="1"/>
  <c r="E14" i="1"/>
  <c r="AC14" i="1"/>
  <c r="G15" i="1"/>
  <c r="G17" i="1"/>
  <c r="O17" i="1" s="1"/>
  <c r="G21" i="1"/>
  <c r="E22" i="1"/>
  <c r="G23" i="1"/>
  <c r="E26" i="1"/>
  <c r="G35" i="1"/>
  <c r="F12" i="1"/>
  <c r="M12" i="1"/>
  <c r="M14" i="1" s="1"/>
  <c r="K8" i="4" l="1"/>
  <c r="K20" i="4" s="1"/>
  <c r="C56" i="5"/>
  <c r="M18" i="11"/>
  <c r="L32" i="13"/>
  <c r="L13" i="14"/>
  <c r="N13" i="14"/>
  <c r="I35" i="10"/>
  <c r="I41" i="10" s="1"/>
  <c r="L20" i="9"/>
  <c r="L8" i="14"/>
  <c r="L11" i="14"/>
  <c r="N11" i="14"/>
  <c r="L12" i="14"/>
  <c r="N12" i="14"/>
  <c r="I38" i="10"/>
  <c r="I44" i="10" s="1"/>
  <c r="L10" i="14"/>
  <c r="N10" i="14"/>
  <c r="N9" i="14"/>
  <c r="L9" i="14"/>
  <c r="I32" i="10"/>
  <c r="S33" i="10" s="1"/>
  <c r="G24" i="9"/>
  <c r="J19" i="4"/>
  <c r="G25" i="9"/>
  <c r="J34" i="11"/>
  <c r="J31" i="11" s="1"/>
  <c r="J35" i="11" s="1"/>
  <c r="E15" i="3"/>
  <c r="E23" i="3" s="1"/>
  <c r="M27" i="12"/>
  <c r="M28" i="12"/>
  <c r="M30" i="11"/>
  <c r="M28" i="11"/>
  <c r="M29" i="11"/>
  <c r="E34" i="12"/>
  <c r="I34" i="12" s="1"/>
  <c r="I30" i="12"/>
  <c r="I26" i="9"/>
  <c r="H34" i="11"/>
  <c r="G31" i="11"/>
  <c r="E35" i="11"/>
  <c r="I35" i="11" s="1"/>
  <c r="I31" i="11"/>
  <c r="D43" i="13"/>
  <c r="H43" i="13" s="1"/>
  <c r="H37" i="13"/>
  <c r="G41" i="10"/>
  <c r="G38" i="10" s="1"/>
  <c r="F38" i="10"/>
  <c r="F44" i="10" s="1"/>
  <c r="F45" i="10" s="1"/>
  <c r="S34" i="10"/>
  <c r="S35" i="10"/>
  <c r="H33" i="12"/>
  <c r="G30" i="12"/>
  <c r="J33" i="12"/>
  <c r="M29" i="12"/>
  <c r="L33" i="13"/>
  <c r="G40" i="13"/>
  <c r="G37" i="13" s="1"/>
  <c r="F37" i="13"/>
  <c r="F43" i="13" s="1"/>
  <c r="D44" i="10"/>
  <c r="H44" i="10" s="1"/>
  <c r="J30" i="12"/>
  <c r="J34" i="12" s="1"/>
  <c r="S13" i="1"/>
  <c r="I14" i="13"/>
  <c r="J13" i="12"/>
  <c r="J14" i="11"/>
  <c r="I12" i="13"/>
  <c r="J11" i="12"/>
  <c r="C80" i="10"/>
  <c r="C81" i="10" s="1"/>
  <c r="C82" i="10" s="1"/>
  <c r="C83" i="10" s="1"/>
  <c r="C84" i="10" s="1"/>
  <c r="C79" i="13"/>
  <c r="C62" i="12"/>
  <c r="J12" i="11"/>
  <c r="C63" i="11"/>
  <c r="C61" i="10"/>
  <c r="Q56" i="10" s="1"/>
  <c r="I12" i="11"/>
  <c r="C50" i="11"/>
  <c r="K45" i="11" s="1"/>
  <c r="E14" i="12"/>
  <c r="I13" i="12"/>
  <c r="H14" i="13"/>
  <c r="D15" i="13"/>
  <c r="J22" i="9"/>
  <c r="Q26" i="10"/>
  <c r="J25" i="13"/>
  <c r="K22" i="12"/>
  <c r="K23" i="11"/>
  <c r="J12" i="12"/>
  <c r="I13" i="13"/>
  <c r="J13" i="11"/>
  <c r="C49" i="12"/>
  <c r="K44" i="12" s="1"/>
  <c r="I11" i="12"/>
  <c r="C60" i="13"/>
  <c r="J55" i="13" s="1"/>
  <c r="H12" i="13"/>
  <c r="D16" i="13"/>
  <c r="I14" i="11"/>
  <c r="I15" i="11" s="1"/>
  <c r="I18" i="11" s="1"/>
  <c r="E15" i="11"/>
  <c r="E29" i="3"/>
  <c r="E28" i="3" s="1"/>
  <c r="E32" i="3" s="1"/>
  <c r="E33" i="3" s="1"/>
  <c r="E35" i="3" s="1"/>
  <c r="F9" i="5"/>
  <c r="D12" i="3"/>
  <c r="D13" i="3" s="1"/>
  <c r="D14" i="3" s="1"/>
  <c r="E50" i="13"/>
  <c r="E49" i="13"/>
  <c r="E48" i="13"/>
  <c r="E47" i="13"/>
  <c r="E46" i="13"/>
  <c r="F39" i="12"/>
  <c r="F38" i="12"/>
  <c r="F37" i="12"/>
  <c r="U7" i="4"/>
  <c r="U8" i="4" s="1"/>
  <c r="D12" i="5"/>
  <c r="D13" i="5" s="1"/>
  <c r="D14" i="5" s="1"/>
  <c r="E50" i="10"/>
  <c r="E51" i="10"/>
  <c r="F30" i="9"/>
  <c r="G33" i="9"/>
  <c r="F40" i="11"/>
  <c r="F39" i="11"/>
  <c r="F38" i="11"/>
  <c r="E49" i="10"/>
  <c r="E48" i="10"/>
  <c r="E47" i="10"/>
  <c r="S12" i="1"/>
  <c r="S14" i="1"/>
  <c r="S11" i="1"/>
  <c r="F17" i="3"/>
  <c r="F25" i="3" s="1"/>
  <c r="F29" i="3" s="1"/>
  <c r="C47" i="8"/>
  <c r="F9" i="8"/>
  <c r="D14" i="9"/>
  <c r="H13" i="9"/>
  <c r="H26" i="3"/>
  <c r="H25" i="3"/>
  <c r="G10" i="8"/>
  <c r="I12" i="9"/>
  <c r="G10" i="5"/>
  <c r="F10" i="3"/>
  <c r="C49" i="9"/>
  <c r="H11" i="9"/>
  <c r="D15" i="9"/>
  <c r="I13" i="9"/>
  <c r="G11" i="8"/>
  <c r="G12" i="8" s="1"/>
  <c r="G15" i="8" s="1"/>
  <c r="F11" i="3"/>
  <c r="F12" i="3" s="1"/>
  <c r="G11" i="5"/>
  <c r="G12" i="5" s="1"/>
  <c r="C62" i="9"/>
  <c r="C63" i="9" s="1"/>
  <c r="C64" i="9" s="1"/>
  <c r="I11" i="9"/>
  <c r="C60" i="8"/>
  <c r="C61" i="8" s="1"/>
  <c r="C62" i="8" s="1"/>
  <c r="G9" i="8"/>
  <c r="C57" i="3"/>
  <c r="C58" i="3" s="1"/>
  <c r="C59" i="3" s="1"/>
  <c r="F9" i="3"/>
  <c r="C60" i="5"/>
  <c r="C61" i="5" s="1"/>
  <c r="C62" i="5" s="1"/>
  <c r="G9" i="5"/>
  <c r="F11" i="8"/>
  <c r="D12" i="8"/>
  <c r="H34" i="9"/>
  <c r="E35" i="9"/>
  <c r="D7" i="4"/>
  <c r="C19" i="4"/>
  <c r="D30" i="3"/>
  <c r="F18" i="3"/>
  <c r="F26" i="3" s="1"/>
  <c r="F30" i="3" s="1"/>
  <c r="V8" i="4"/>
  <c r="V20" i="4" s="1"/>
  <c r="V19" i="4"/>
  <c r="D31" i="3"/>
  <c r="F19" i="3"/>
  <c r="F27" i="3" s="1"/>
  <c r="Z8" i="4"/>
  <c r="Z19" i="4"/>
  <c r="Y7" i="4"/>
  <c r="E37" i="8"/>
  <c r="E36" i="8"/>
  <c r="E35" i="8"/>
  <c r="E29" i="5"/>
  <c r="F6" i="5"/>
  <c r="E30" i="5"/>
  <c r="F30" i="5" s="1"/>
  <c r="F7" i="5"/>
  <c r="I32" i="5"/>
  <c r="J32" i="5" s="1"/>
  <c r="E31" i="5"/>
  <c r="F8" i="5"/>
  <c r="E14" i="5"/>
  <c r="D31" i="5"/>
  <c r="G19" i="5"/>
  <c r="G27" i="5" s="1"/>
  <c r="G31" i="5" s="1"/>
  <c r="E15" i="5"/>
  <c r="D29" i="5"/>
  <c r="G17" i="5"/>
  <c r="G25" i="5" s="1"/>
  <c r="C49" i="5"/>
  <c r="C58" i="5" s="1"/>
  <c r="G18" i="5"/>
  <c r="G26" i="5" s="1"/>
  <c r="G26" i="3"/>
  <c r="U19" i="4"/>
  <c r="C8" i="4"/>
  <c r="C20" i="4" s="1"/>
  <c r="D21" i="2"/>
  <c r="P26" i="1"/>
  <c r="P27" i="1" s="1"/>
  <c r="P28" i="1" s="1"/>
  <c r="M35" i="1"/>
  <c r="AF14" i="1"/>
  <c r="M17" i="1"/>
  <c r="M15" i="1"/>
  <c r="F26" i="1"/>
  <c r="E30" i="1"/>
  <c r="E27" i="1"/>
  <c r="F22" i="1"/>
  <c r="E23" i="1"/>
  <c r="F23" i="1" s="1"/>
  <c r="E20" i="1"/>
  <c r="H22" i="1"/>
  <c r="M22" i="1"/>
  <c r="S22" i="1" s="1"/>
  <c r="G18" i="1"/>
  <c r="O18" i="1" s="1"/>
  <c r="O19" i="1" s="1"/>
  <c r="E35" i="1"/>
  <c r="F14" i="1"/>
  <c r="E17" i="1"/>
  <c r="F17" i="1" s="1"/>
  <c r="E15" i="1"/>
  <c r="H15" i="1" s="1"/>
  <c r="AD34" i="1"/>
  <c r="AD35" i="1" s="1"/>
  <c r="H23" i="1"/>
  <c r="H14" i="1"/>
  <c r="E22" i="3" l="1"/>
  <c r="T7" i="4"/>
  <c r="S7" i="4" s="1"/>
  <c r="J15" i="11"/>
  <c r="I16" i="11"/>
  <c r="I17" i="11" s="1"/>
  <c r="G44" i="10"/>
  <c r="E21" i="3"/>
  <c r="G13" i="5"/>
  <c r="G14" i="5" s="1"/>
  <c r="D15" i="5"/>
  <c r="D22" i="5" s="1"/>
  <c r="F13" i="5"/>
  <c r="I14" i="9"/>
  <c r="I15" i="9" s="1"/>
  <c r="I16" i="9" s="1"/>
  <c r="H30" i="12"/>
  <c r="G34" i="12"/>
  <c r="G43" i="13"/>
  <c r="F44" i="13"/>
  <c r="G35" i="11"/>
  <c r="H31" i="11"/>
  <c r="L28" i="9"/>
  <c r="L29" i="9"/>
  <c r="L27" i="9"/>
  <c r="F15" i="3"/>
  <c r="F22" i="3" s="1"/>
  <c r="J14" i="12"/>
  <c r="J17" i="12" s="1"/>
  <c r="J24" i="12" s="1"/>
  <c r="E36" i="11"/>
  <c r="E18" i="11"/>
  <c r="D45" i="10"/>
  <c r="H45" i="10" s="1"/>
  <c r="E17" i="12"/>
  <c r="I14" i="12"/>
  <c r="E35" i="12"/>
  <c r="C80" i="13"/>
  <c r="J15" i="12"/>
  <c r="J16" i="12" s="1"/>
  <c r="K72" i="13"/>
  <c r="L57" i="12"/>
  <c r="L58" i="11"/>
  <c r="R73" i="10"/>
  <c r="D17" i="13"/>
  <c r="H17" i="13" s="1"/>
  <c r="H16" i="13"/>
  <c r="C61" i="13"/>
  <c r="C73" i="13"/>
  <c r="C50" i="12"/>
  <c r="C58" i="12"/>
  <c r="D18" i="13"/>
  <c r="H15" i="13"/>
  <c r="D44" i="13"/>
  <c r="C59" i="11"/>
  <c r="C51" i="11"/>
  <c r="C62" i="10"/>
  <c r="C74" i="10"/>
  <c r="C64" i="11"/>
  <c r="C63" i="12"/>
  <c r="E16" i="11"/>
  <c r="D15" i="3"/>
  <c r="D22" i="3" s="1"/>
  <c r="F12" i="5"/>
  <c r="F14" i="5"/>
  <c r="D28" i="3"/>
  <c r="D32" i="3" s="1"/>
  <c r="D33" i="3" s="1"/>
  <c r="D36" i="3" s="1"/>
  <c r="D48" i="3" s="1"/>
  <c r="E15" i="12"/>
  <c r="I15" i="13"/>
  <c r="D71" i="13"/>
  <c r="I71" i="13" s="1"/>
  <c r="E54" i="13"/>
  <c r="D68" i="13"/>
  <c r="D70" i="13"/>
  <c r="E71" i="13"/>
  <c r="E53" i="13"/>
  <c r="D67" i="13"/>
  <c r="E55" i="13"/>
  <c r="D69" i="13"/>
  <c r="F43" i="12"/>
  <c r="E55" i="12"/>
  <c r="F42" i="12"/>
  <c r="E54" i="12"/>
  <c r="F44" i="12"/>
  <c r="E56" i="12"/>
  <c r="D71" i="10"/>
  <c r="D72" i="10"/>
  <c r="F34" i="9"/>
  <c r="G30" i="9"/>
  <c r="F43" i="11"/>
  <c r="E55" i="11"/>
  <c r="F45" i="11"/>
  <c r="E57" i="11"/>
  <c r="F44" i="11"/>
  <c r="E56" i="11"/>
  <c r="E55" i="10"/>
  <c r="D69" i="10"/>
  <c r="F49" i="10"/>
  <c r="G49" i="10" s="1"/>
  <c r="F48" i="10"/>
  <c r="G48" i="10" s="1"/>
  <c r="F47" i="10"/>
  <c r="G47" i="10" s="1"/>
  <c r="G45" i="10"/>
  <c r="E54" i="10"/>
  <c r="D68" i="10"/>
  <c r="E56" i="10"/>
  <c r="D70" i="10"/>
  <c r="S17" i="1"/>
  <c r="S15" i="1"/>
  <c r="J44" i="9"/>
  <c r="I55" i="8"/>
  <c r="K57" i="9"/>
  <c r="I55" i="5"/>
  <c r="G43" i="3"/>
  <c r="F13" i="3"/>
  <c r="F14" i="3" s="1"/>
  <c r="D16" i="9"/>
  <c r="H16" i="9" s="1"/>
  <c r="H15" i="9"/>
  <c r="C50" i="9"/>
  <c r="C58" i="9"/>
  <c r="D17" i="9"/>
  <c r="H14" i="9"/>
  <c r="D35" i="9"/>
  <c r="D15" i="8"/>
  <c r="D33" i="8"/>
  <c r="F12" i="8"/>
  <c r="G13" i="8"/>
  <c r="G14" i="8" s="1"/>
  <c r="G22" i="8"/>
  <c r="G23" i="8"/>
  <c r="G21" i="8"/>
  <c r="D13" i="8"/>
  <c r="C48" i="8"/>
  <c r="C56" i="8"/>
  <c r="G33" i="8"/>
  <c r="H35" i="9"/>
  <c r="E39" i="9"/>
  <c r="E38" i="9"/>
  <c r="E37" i="9"/>
  <c r="F31" i="3"/>
  <c r="F28" i="3" s="1"/>
  <c r="F32" i="3" s="1"/>
  <c r="F33" i="3" s="1"/>
  <c r="F36" i="3" s="1"/>
  <c r="D19" i="4"/>
  <c r="D8" i="4"/>
  <c r="D20" i="4" s="1"/>
  <c r="Y19" i="4"/>
  <c r="AD8" i="4"/>
  <c r="N7" i="4"/>
  <c r="N19" i="4" s="1"/>
  <c r="Z20" i="4"/>
  <c r="Y8" i="4"/>
  <c r="F24" i="3"/>
  <c r="I25" i="3" s="1"/>
  <c r="E40" i="8"/>
  <c r="D52" i="8"/>
  <c r="E42" i="8"/>
  <c r="D54" i="8"/>
  <c r="E41" i="8"/>
  <c r="D53" i="8"/>
  <c r="D28" i="5"/>
  <c r="D32" i="5" s="1"/>
  <c r="D33" i="5" s="1"/>
  <c r="D37" i="5" s="1"/>
  <c r="E28" i="5"/>
  <c r="E32" i="5" s="1"/>
  <c r="F29" i="5"/>
  <c r="F15" i="5"/>
  <c r="F31" i="5"/>
  <c r="G30" i="5"/>
  <c r="E22" i="5"/>
  <c r="E21" i="5"/>
  <c r="E23" i="5"/>
  <c r="G15" i="5"/>
  <c r="D21" i="5"/>
  <c r="G24" i="5"/>
  <c r="J26" i="5" s="1"/>
  <c r="G29" i="5"/>
  <c r="E36" i="3"/>
  <c r="D52" i="3"/>
  <c r="F52" i="3" s="1"/>
  <c r="E40" i="3"/>
  <c r="E37" i="3"/>
  <c r="E42" i="3" s="1"/>
  <c r="F21" i="3"/>
  <c r="T19" i="4"/>
  <c r="AE8" i="4"/>
  <c r="U20" i="4"/>
  <c r="T8" i="4"/>
  <c r="N26" i="1"/>
  <c r="D28" i="4"/>
  <c r="E27" i="4"/>
  <c r="G19" i="1"/>
  <c r="H19" i="1" s="1"/>
  <c r="G26" i="1"/>
  <c r="H18" i="1"/>
  <c r="M23" i="1"/>
  <c r="S23" i="1" s="1"/>
  <c r="M20" i="1"/>
  <c r="S20" i="1" s="1"/>
  <c r="F27" i="1"/>
  <c r="E28" i="1"/>
  <c r="AC19" i="1"/>
  <c r="F15" i="1"/>
  <c r="F20" i="1"/>
  <c r="E21" i="1"/>
  <c r="H20" i="1"/>
  <c r="M18" i="1"/>
  <c r="K26" i="4" s="1"/>
  <c r="AC17" i="1"/>
  <c r="H17" i="1"/>
  <c r="J35" i="12" l="1"/>
  <c r="J39" i="12" s="1"/>
  <c r="J44" i="12" s="1"/>
  <c r="I7" i="4"/>
  <c r="H7" i="4" s="1"/>
  <c r="H19" i="4" s="1"/>
  <c r="D26" i="4" s="1"/>
  <c r="D23" i="5"/>
  <c r="F23" i="5" s="1"/>
  <c r="I35" i="9"/>
  <c r="I39" i="9" s="1"/>
  <c r="J16" i="11"/>
  <c r="J17" i="11" s="1"/>
  <c r="J18" i="11"/>
  <c r="D41" i="3"/>
  <c r="I17" i="9"/>
  <c r="F37" i="3"/>
  <c r="F42" i="3" s="1"/>
  <c r="D37" i="3"/>
  <c r="D42" i="3" s="1"/>
  <c r="D35" i="5"/>
  <c r="D47" i="5" s="1"/>
  <c r="F23" i="3"/>
  <c r="D23" i="3"/>
  <c r="D35" i="3"/>
  <c r="F35" i="3"/>
  <c r="D57" i="3" s="1"/>
  <c r="D21" i="3"/>
  <c r="F47" i="13"/>
  <c r="G47" i="13" s="1"/>
  <c r="G44" i="13"/>
  <c r="F48" i="13"/>
  <c r="G48" i="13" s="1"/>
  <c r="F46" i="13"/>
  <c r="G46" i="13" s="1"/>
  <c r="G35" i="12"/>
  <c r="H34" i="12"/>
  <c r="G36" i="11"/>
  <c r="H35" i="11"/>
  <c r="K65" i="13"/>
  <c r="L52" i="12"/>
  <c r="L53" i="11"/>
  <c r="R66" i="10"/>
  <c r="J36" i="11"/>
  <c r="E16" i="12"/>
  <c r="I16" i="12" s="1"/>
  <c r="I15" i="12"/>
  <c r="E17" i="11"/>
  <c r="C75" i="10"/>
  <c r="C63" i="10"/>
  <c r="C52" i="11"/>
  <c r="C60" i="11"/>
  <c r="D47" i="13"/>
  <c r="D61" i="13" s="1"/>
  <c r="D48" i="13"/>
  <c r="D49" i="13"/>
  <c r="H49" i="13" s="1"/>
  <c r="D50" i="13"/>
  <c r="H50" i="13" s="1"/>
  <c r="D46" i="13"/>
  <c r="H44" i="13"/>
  <c r="H18" i="13"/>
  <c r="D29" i="13"/>
  <c r="D30" i="13"/>
  <c r="D27" i="13"/>
  <c r="D28" i="13"/>
  <c r="D26" i="13"/>
  <c r="C74" i="13"/>
  <c r="C62" i="13"/>
  <c r="L21" i="11"/>
  <c r="L18" i="11" s="1"/>
  <c r="L24" i="11"/>
  <c r="K26" i="13"/>
  <c r="K21" i="13"/>
  <c r="C81" i="13"/>
  <c r="E38" i="12"/>
  <c r="E50" i="12" s="1"/>
  <c r="E39" i="12"/>
  <c r="E37" i="12"/>
  <c r="I35" i="12"/>
  <c r="I17" i="12"/>
  <c r="E25" i="12"/>
  <c r="I25" i="12" s="1"/>
  <c r="E23" i="12"/>
  <c r="I23" i="12" s="1"/>
  <c r="E24" i="12"/>
  <c r="I24" i="12" s="1"/>
  <c r="E24" i="11"/>
  <c r="I24" i="11" s="1"/>
  <c r="E25" i="11"/>
  <c r="I25" i="11" s="1"/>
  <c r="E26" i="11"/>
  <c r="I26" i="11" s="1"/>
  <c r="E40" i="11"/>
  <c r="E39" i="11"/>
  <c r="E51" i="11" s="1"/>
  <c r="E38" i="11"/>
  <c r="I36" i="11"/>
  <c r="I18" i="13"/>
  <c r="I44" i="13"/>
  <c r="I45" i="10"/>
  <c r="C64" i="12"/>
  <c r="C65" i="11"/>
  <c r="C59" i="12"/>
  <c r="C51" i="12"/>
  <c r="R27" i="10"/>
  <c r="R22" i="10"/>
  <c r="L23" i="12"/>
  <c r="L20" i="12"/>
  <c r="J38" i="12"/>
  <c r="J43" i="12" s="1"/>
  <c r="D49" i="10"/>
  <c r="H49" i="10" s="1"/>
  <c r="D50" i="10"/>
  <c r="H50" i="10" s="1"/>
  <c r="D48" i="10"/>
  <c r="H48" i="10" s="1"/>
  <c r="D51" i="10"/>
  <c r="H51" i="10" s="1"/>
  <c r="D47" i="10"/>
  <c r="H47" i="10" s="1"/>
  <c r="J23" i="12"/>
  <c r="J25" i="12"/>
  <c r="I16" i="13"/>
  <c r="I17" i="13" s="1"/>
  <c r="E67" i="13"/>
  <c r="L67" i="13"/>
  <c r="I67" i="13"/>
  <c r="E56" i="13"/>
  <c r="J54" i="13"/>
  <c r="K54" i="13" s="1"/>
  <c r="E69" i="13"/>
  <c r="I69" i="13"/>
  <c r="J71" i="13"/>
  <c r="I70" i="13"/>
  <c r="E70" i="13"/>
  <c r="I68" i="13"/>
  <c r="E68" i="13"/>
  <c r="F56" i="12"/>
  <c r="J56" i="12"/>
  <c r="F54" i="12"/>
  <c r="M54" i="12"/>
  <c r="J54" i="12"/>
  <c r="J55" i="12"/>
  <c r="F55" i="12"/>
  <c r="F45" i="12"/>
  <c r="K43" i="12"/>
  <c r="L43" i="12" s="1"/>
  <c r="I72" i="10"/>
  <c r="E72" i="10"/>
  <c r="H72" i="10" s="1"/>
  <c r="I71" i="10"/>
  <c r="E71" i="10"/>
  <c r="H71" i="10" s="1"/>
  <c r="F35" i="9"/>
  <c r="G34" i="9"/>
  <c r="F55" i="11"/>
  <c r="M55" i="11"/>
  <c r="J55" i="11"/>
  <c r="F46" i="11"/>
  <c r="K44" i="11"/>
  <c r="L44" i="11" s="1"/>
  <c r="J56" i="11"/>
  <c r="F56" i="11"/>
  <c r="F57" i="11"/>
  <c r="J57" i="11"/>
  <c r="E68" i="10"/>
  <c r="H68" i="10" s="1"/>
  <c r="S68" i="10"/>
  <c r="I68" i="10"/>
  <c r="E57" i="10"/>
  <c r="Q55" i="10"/>
  <c r="R55" i="10" s="1"/>
  <c r="I69" i="10"/>
  <c r="E69" i="10"/>
  <c r="H69" i="10" s="1"/>
  <c r="E70" i="10"/>
  <c r="H70" i="10" s="1"/>
  <c r="I70" i="10"/>
  <c r="S18" i="1"/>
  <c r="R26" i="1"/>
  <c r="E52" i="3"/>
  <c r="K52" i="9"/>
  <c r="I50" i="8"/>
  <c r="I50" i="5"/>
  <c r="D14" i="8"/>
  <c r="F14" i="8" s="1"/>
  <c r="F13" i="8"/>
  <c r="I23" i="9"/>
  <c r="D37" i="8"/>
  <c r="D36" i="8"/>
  <c r="D48" i="8" s="1"/>
  <c r="D35" i="8"/>
  <c r="F33" i="8"/>
  <c r="D38" i="9"/>
  <c r="D43" i="9" s="1"/>
  <c r="D39" i="9"/>
  <c r="D44" i="9" s="1"/>
  <c r="D37" i="9"/>
  <c r="H37" i="9" s="1"/>
  <c r="H17" i="9"/>
  <c r="D24" i="9"/>
  <c r="H24" i="9" s="1"/>
  <c r="D25" i="9"/>
  <c r="H25" i="9" s="1"/>
  <c r="D23" i="9"/>
  <c r="H23" i="9" s="1"/>
  <c r="I38" i="9"/>
  <c r="I37" i="9"/>
  <c r="K20" i="9"/>
  <c r="K23" i="9"/>
  <c r="G36" i="8"/>
  <c r="G37" i="8"/>
  <c r="G35" i="8"/>
  <c r="C57" i="8"/>
  <c r="C49" i="8"/>
  <c r="D22" i="8"/>
  <c r="F22" i="8" s="1"/>
  <c r="F15" i="8"/>
  <c r="D23" i="8"/>
  <c r="F23" i="8" s="1"/>
  <c r="D21" i="8"/>
  <c r="F21" i="8" s="1"/>
  <c r="D50" i="9"/>
  <c r="C59" i="9"/>
  <c r="C51" i="9"/>
  <c r="E43" i="9"/>
  <c r="D55" i="9"/>
  <c r="E55" i="9" s="1"/>
  <c r="D54" i="9"/>
  <c r="E42" i="9"/>
  <c r="J43" i="9" s="1"/>
  <c r="K43" i="9" s="1"/>
  <c r="E44" i="9"/>
  <c r="D56" i="9"/>
  <c r="E56" i="9" s="1"/>
  <c r="I26" i="3"/>
  <c r="I27" i="3"/>
  <c r="N8" i="4"/>
  <c r="N20" i="4" s="1"/>
  <c r="Y20" i="4"/>
  <c r="G53" i="8"/>
  <c r="E53" i="8"/>
  <c r="E52" i="8"/>
  <c r="G52" i="8"/>
  <c r="E54" i="8"/>
  <c r="G54" i="8"/>
  <c r="E43" i="8"/>
  <c r="F28" i="5"/>
  <c r="D42" i="5"/>
  <c r="D49" i="5"/>
  <c r="G49" i="5" s="1"/>
  <c r="G28" i="5"/>
  <c r="G32" i="5" s="1"/>
  <c r="G33" i="5" s="1"/>
  <c r="G37" i="5" s="1"/>
  <c r="D36" i="5"/>
  <c r="D41" i="5" s="1"/>
  <c r="F21" i="5"/>
  <c r="E33" i="5"/>
  <c r="F32" i="5"/>
  <c r="F22" i="5"/>
  <c r="J27" i="5"/>
  <c r="J25" i="5"/>
  <c r="G22" i="5"/>
  <c r="G21" i="5"/>
  <c r="G23" i="5"/>
  <c r="D40" i="5"/>
  <c r="D53" i="3"/>
  <c r="E41" i="3"/>
  <c r="E43" i="3" s="1"/>
  <c r="D54" i="3"/>
  <c r="E48" i="3"/>
  <c r="F48" i="3"/>
  <c r="F41" i="3"/>
  <c r="D58" i="3"/>
  <c r="I19" i="4"/>
  <c r="S19" i="4"/>
  <c r="AF8" i="4"/>
  <c r="I8" i="4"/>
  <c r="T20" i="4"/>
  <c r="S8" i="4"/>
  <c r="S20" i="4" s="1"/>
  <c r="D5" i="2" s="1"/>
  <c r="D6" i="2" s="1"/>
  <c r="D12" i="2" s="1"/>
  <c r="D22" i="2" s="1"/>
  <c r="Q26" i="1"/>
  <c r="O26" i="1"/>
  <c r="N27" i="1"/>
  <c r="M19" i="1"/>
  <c r="M26" i="1"/>
  <c r="F21" i="1"/>
  <c r="H21" i="1"/>
  <c r="F28" i="1"/>
  <c r="M21" i="1"/>
  <c r="S21" i="1" s="1"/>
  <c r="I42" i="1"/>
  <c r="G30" i="1"/>
  <c r="M30" i="1" s="1"/>
  <c r="H26" i="1"/>
  <c r="G27" i="1"/>
  <c r="AH26" i="1"/>
  <c r="H39" i="9" l="1"/>
  <c r="J37" i="12"/>
  <c r="D59" i="3"/>
  <c r="F59" i="3" s="1"/>
  <c r="D49" i="3"/>
  <c r="E49" i="3" s="1"/>
  <c r="E49" i="5"/>
  <c r="I25" i="9"/>
  <c r="I24" i="9"/>
  <c r="F40" i="3"/>
  <c r="F43" i="3" s="1"/>
  <c r="D47" i="3"/>
  <c r="D40" i="3"/>
  <c r="D43" i="3" s="1"/>
  <c r="G40" i="11"/>
  <c r="H40" i="11" s="1"/>
  <c r="G38" i="11"/>
  <c r="H38" i="11" s="1"/>
  <c r="G39" i="11"/>
  <c r="H39" i="11" s="1"/>
  <c r="H36" i="11"/>
  <c r="G39" i="12"/>
  <c r="H39" i="12" s="1"/>
  <c r="G37" i="12"/>
  <c r="H37" i="12" s="1"/>
  <c r="G38" i="12"/>
  <c r="H38" i="12" s="1"/>
  <c r="H35" i="12"/>
  <c r="I8" i="14"/>
  <c r="I11" i="14"/>
  <c r="I12" i="14"/>
  <c r="I9" i="14"/>
  <c r="I10" i="14"/>
  <c r="E74" i="12"/>
  <c r="E75" i="11"/>
  <c r="Q31" i="10"/>
  <c r="Q28" i="10"/>
  <c r="Q29" i="10"/>
  <c r="D54" i="10"/>
  <c r="H54" i="10" s="1"/>
  <c r="D61" i="10"/>
  <c r="D55" i="10"/>
  <c r="H55" i="10" s="1"/>
  <c r="D56" i="10"/>
  <c r="H56" i="10" s="1"/>
  <c r="F50" i="12"/>
  <c r="J50" i="12"/>
  <c r="K50" i="12" s="1"/>
  <c r="I29" i="13"/>
  <c r="I30" i="13"/>
  <c r="I27" i="13"/>
  <c r="I26" i="13"/>
  <c r="I28" i="13"/>
  <c r="E43" i="11"/>
  <c r="E50" i="11"/>
  <c r="I38" i="11"/>
  <c r="E45" i="11"/>
  <c r="I40" i="11"/>
  <c r="E42" i="12"/>
  <c r="E49" i="12"/>
  <c r="I37" i="12"/>
  <c r="E43" i="12"/>
  <c r="I38" i="12"/>
  <c r="C82" i="13"/>
  <c r="C63" i="13"/>
  <c r="C75" i="13"/>
  <c r="D62" i="13"/>
  <c r="J26" i="13"/>
  <c r="H26" i="13"/>
  <c r="J27" i="13"/>
  <c r="H27" i="13"/>
  <c r="J29" i="13"/>
  <c r="H29" i="13"/>
  <c r="D55" i="13"/>
  <c r="H48" i="13"/>
  <c r="J51" i="11"/>
  <c r="K51" i="11" s="1"/>
  <c r="F51" i="11"/>
  <c r="E52" i="11"/>
  <c r="C61" i="11"/>
  <c r="C64" i="10"/>
  <c r="C65" i="10" s="1"/>
  <c r="D65" i="10" s="1"/>
  <c r="D63" i="10"/>
  <c r="C76" i="10"/>
  <c r="J39" i="11"/>
  <c r="J40" i="11"/>
  <c r="J45" i="11" s="1"/>
  <c r="J38" i="11"/>
  <c r="K84" i="13"/>
  <c r="L66" i="11"/>
  <c r="L65" i="12"/>
  <c r="R85" i="10"/>
  <c r="Q27" i="10"/>
  <c r="E74" i="11"/>
  <c r="Q30" i="10"/>
  <c r="E73" i="12"/>
  <c r="D64" i="10"/>
  <c r="J42" i="12"/>
  <c r="J45" i="12" s="1"/>
  <c r="E62" i="12"/>
  <c r="C60" i="12"/>
  <c r="E51" i="12"/>
  <c r="I51" i="10"/>
  <c r="D84" i="10" s="1"/>
  <c r="I49" i="10"/>
  <c r="I47" i="10"/>
  <c r="I50" i="10"/>
  <c r="D83" i="10" s="1"/>
  <c r="I48" i="10"/>
  <c r="I50" i="13"/>
  <c r="I48" i="13"/>
  <c r="I55" i="13" s="1"/>
  <c r="I46" i="13"/>
  <c r="I49" i="13"/>
  <c r="I47" i="13"/>
  <c r="E44" i="11"/>
  <c r="I39" i="11"/>
  <c r="E44" i="12"/>
  <c r="I39" i="12"/>
  <c r="E61" i="13"/>
  <c r="I61" i="13"/>
  <c r="J61" i="13" s="1"/>
  <c r="J28" i="13"/>
  <c r="H28" i="13"/>
  <c r="H30" i="13"/>
  <c r="J30" i="13"/>
  <c r="D53" i="13"/>
  <c r="H46" i="13"/>
  <c r="D60" i="13"/>
  <c r="D54" i="13"/>
  <c r="H47" i="13"/>
  <c r="J24" i="11"/>
  <c r="J25" i="11"/>
  <c r="J26" i="11"/>
  <c r="E64" i="12"/>
  <c r="D48" i="5"/>
  <c r="G48" i="5" s="1"/>
  <c r="E63" i="12"/>
  <c r="D62" i="10"/>
  <c r="J69" i="13"/>
  <c r="J67" i="13"/>
  <c r="M67" i="13"/>
  <c r="E72" i="13"/>
  <c r="J68" i="13"/>
  <c r="J70" i="13"/>
  <c r="K54" i="12"/>
  <c r="N54" i="12"/>
  <c r="F57" i="12"/>
  <c r="K55" i="12"/>
  <c r="K56" i="12"/>
  <c r="Q71" i="10"/>
  <c r="Q72" i="10"/>
  <c r="E73" i="10"/>
  <c r="H73" i="10" s="1"/>
  <c r="F39" i="9"/>
  <c r="G39" i="9" s="1"/>
  <c r="F38" i="9"/>
  <c r="G38" i="9" s="1"/>
  <c r="F37" i="9"/>
  <c r="G37" i="9" s="1"/>
  <c r="G35" i="9"/>
  <c r="K57" i="11"/>
  <c r="K55" i="11"/>
  <c r="N55" i="11"/>
  <c r="F58" i="11"/>
  <c r="K56" i="11"/>
  <c r="Q70" i="10"/>
  <c r="Q68" i="10"/>
  <c r="T68" i="10"/>
  <c r="Q69" i="10"/>
  <c r="S19" i="1"/>
  <c r="I63" i="8"/>
  <c r="K65" i="9"/>
  <c r="I63" i="5"/>
  <c r="R27" i="1"/>
  <c r="S26" i="1"/>
  <c r="E54" i="9"/>
  <c r="M54" i="9" s="1"/>
  <c r="L54" i="9"/>
  <c r="G35" i="5"/>
  <c r="G40" i="5" s="1"/>
  <c r="H38" i="9"/>
  <c r="E48" i="8"/>
  <c r="G48" i="8"/>
  <c r="H48" i="8" s="1"/>
  <c r="G42" i="8"/>
  <c r="D62" i="8"/>
  <c r="I42" i="9"/>
  <c r="D62" i="9"/>
  <c r="I43" i="9"/>
  <c r="D63" i="9"/>
  <c r="D41" i="8"/>
  <c r="F36" i="8"/>
  <c r="D51" i="9"/>
  <c r="C60" i="9"/>
  <c r="E50" i="9"/>
  <c r="I50" i="9"/>
  <c r="J50" i="9" s="1"/>
  <c r="C58" i="8"/>
  <c r="D49" i="8"/>
  <c r="G40" i="8"/>
  <c r="D60" i="8"/>
  <c r="G41" i="8"/>
  <c r="D61" i="8"/>
  <c r="I44" i="9"/>
  <c r="D64" i="9"/>
  <c r="D42" i="9"/>
  <c r="D45" i="9" s="1"/>
  <c r="D49" i="9"/>
  <c r="D40" i="8"/>
  <c r="D47" i="8"/>
  <c r="F35" i="8"/>
  <c r="D42" i="8"/>
  <c r="F37" i="8"/>
  <c r="I56" i="9"/>
  <c r="I54" i="9"/>
  <c r="I55" i="9"/>
  <c r="E45" i="9"/>
  <c r="H54" i="8"/>
  <c r="H53" i="8"/>
  <c r="E55" i="8"/>
  <c r="H52" i="8"/>
  <c r="H49" i="5"/>
  <c r="D43" i="5"/>
  <c r="G36" i="5"/>
  <c r="G41" i="5" s="1"/>
  <c r="F33" i="5"/>
  <c r="E37" i="5"/>
  <c r="E35" i="5"/>
  <c r="E36" i="5"/>
  <c r="G42" i="5"/>
  <c r="D62" i="5"/>
  <c r="E47" i="5"/>
  <c r="G47" i="5"/>
  <c r="H47" i="5" s="1"/>
  <c r="E48" i="5"/>
  <c r="F53" i="3"/>
  <c r="E53" i="3"/>
  <c r="F54" i="3"/>
  <c r="E54" i="3"/>
  <c r="E55" i="3" s="1"/>
  <c r="F49" i="3"/>
  <c r="F57" i="3"/>
  <c r="E57" i="3"/>
  <c r="F58" i="3"/>
  <c r="E58" i="3"/>
  <c r="D25" i="2"/>
  <c r="D24" i="2"/>
  <c r="D26" i="2"/>
  <c r="I20" i="4"/>
  <c r="H8" i="4"/>
  <c r="H20" i="4" s="1"/>
  <c r="Q27" i="1"/>
  <c r="O27" i="1"/>
  <c r="N28" i="1"/>
  <c r="I26" i="4"/>
  <c r="J26" i="4" s="1"/>
  <c r="H27" i="1"/>
  <c r="G28" i="1"/>
  <c r="AH27" i="1"/>
  <c r="AI27" i="1" s="1"/>
  <c r="AI26" i="1"/>
  <c r="AK26" i="1" s="1"/>
  <c r="M27" i="1"/>
  <c r="E59" i="3" l="1"/>
  <c r="D60" i="5"/>
  <c r="G60" i="5" s="1"/>
  <c r="E65" i="11"/>
  <c r="J65" i="11" s="1"/>
  <c r="D56" i="13"/>
  <c r="I74" i="13"/>
  <c r="E47" i="3"/>
  <c r="E50" i="3" s="1"/>
  <c r="E61" i="3" s="1"/>
  <c r="F47" i="3"/>
  <c r="M10" i="14"/>
  <c r="M12" i="14"/>
  <c r="M9" i="14"/>
  <c r="M11" i="14"/>
  <c r="M8" i="14"/>
  <c r="H55" i="8"/>
  <c r="D57" i="10"/>
  <c r="H57" i="10" s="1"/>
  <c r="I62" i="10"/>
  <c r="E62" i="10"/>
  <c r="H62" i="10" s="1"/>
  <c r="I60" i="13"/>
  <c r="E8" i="14" s="1"/>
  <c r="E60" i="13"/>
  <c r="D81" i="10"/>
  <c r="I55" i="10"/>
  <c r="D80" i="10"/>
  <c r="I54" i="10"/>
  <c r="E84" i="10"/>
  <c r="H84" i="10" s="1"/>
  <c r="I84" i="10"/>
  <c r="E64" i="10"/>
  <c r="H64" i="10" s="1"/>
  <c r="I64" i="10"/>
  <c r="E65" i="10"/>
  <c r="H65" i="10" s="1"/>
  <c r="I65" i="10"/>
  <c r="J52" i="11"/>
  <c r="F52" i="11"/>
  <c r="F50" i="11"/>
  <c r="J50" i="11"/>
  <c r="F63" i="12"/>
  <c r="J63" i="12"/>
  <c r="F64" i="12"/>
  <c r="J64" i="12"/>
  <c r="I54" i="13"/>
  <c r="D80" i="13"/>
  <c r="I53" i="13"/>
  <c r="D79" i="13"/>
  <c r="I83" i="10"/>
  <c r="E83" i="10"/>
  <c r="H83" i="10" s="1"/>
  <c r="D82" i="10"/>
  <c r="I56" i="10"/>
  <c r="F51" i="12"/>
  <c r="J51" i="12"/>
  <c r="F62" i="12"/>
  <c r="J62" i="12"/>
  <c r="J43" i="11"/>
  <c r="E63" i="11"/>
  <c r="J44" i="11"/>
  <c r="E64" i="11"/>
  <c r="E63" i="10"/>
  <c r="H63" i="10" s="1"/>
  <c r="I63" i="10"/>
  <c r="E62" i="13"/>
  <c r="I62" i="13"/>
  <c r="C64" i="13"/>
  <c r="D64" i="13" s="1"/>
  <c r="D63" i="13"/>
  <c r="D82" i="13"/>
  <c r="C83" i="13"/>
  <c r="D83" i="13" s="1"/>
  <c r="F49" i="12"/>
  <c r="F52" i="12" s="1"/>
  <c r="F69" i="12" s="1"/>
  <c r="J49" i="12"/>
  <c r="E61" i="10"/>
  <c r="H61" i="10" s="1"/>
  <c r="I61" i="10"/>
  <c r="D81" i="13"/>
  <c r="E45" i="12"/>
  <c r="G57" i="8"/>
  <c r="J60" i="11"/>
  <c r="J59" i="12"/>
  <c r="E46" i="11"/>
  <c r="J72" i="13"/>
  <c r="K57" i="12"/>
  <c r="Q73" i="10"/>
  <c r="K58" i="11"/>
  <c r="R28" i="1"/>
  <c r="S27" i="1"/>
  <c r="D43" i="8"/>
  <c r="G47" i="8"/>
  <c r="E47" i="8"/>
  <c r="E49" i="9"/>
  <c r="I49" i="9"/>
  <c r="J49" i="9" s="1"/>
  <c r="E64" i="9"/>
  <c r="I64" i="9"/>
  <c r="E61" i="8"/>
  <c r="G61" i="8"/>
  <c r="E60" i="8"/>
  <c r="G60" i="8"/>
  <c r="G49" i="8"/>
  <c r="E49" i="8"/>
  <c r="I63" i="9"/>
  <c r="E63" i="9"/>
  <c r="E62" i="9"/>
  <c r="I62" i="9"/>
  <c r="G62" i="8"/>
  <c r="E62" i="8"/>
  <c r="G43" i="8"/>
  <c r="I51" i="9"/>
  <c r="J51" i="9" s="1"/>
  <c r="E51" i="9"/>
  <c r="I45" i="9"/>
  <c r="I59" i="9"/>
  <c r="J55" i="9"/>
  <c r="E57" i="9"/>
  <c r="J54" i="9"/>
  <c r="J56" i="9"/>
  <c r="D61" i="5"/>
  <c r="E61" i="5" s="1"/>
  <c r="H48" i="5"/>
  <c r="H50" i="5" s="1"/>
  <c r="G43" i="5"/>
  <c r="F35" i="5"/>
  <c r="E40" i="5"/>
  <c r="D52" i="5"/>
  <c r="F36" i="5"/>
  <c r="D53" i="5"/>
  <c r="E41" i="5"/>
  <c r="F37" i="5"/>
  <c r="D54" i="5"/>
  <c r="E42" i="5"/>
  <c r="E50" i="5"/>
  <c r="E60" i="5"/>
  <c r="E62" i="5"/>
  <c r="G62" i="5"/>
  <c r="E60" i="3"/>
  <c r="D37" i="2"/>
  <c r="E37" i="2" s="1"/>
  <c r="D31" i="2"/>
  <c r="D36" i="2"/>
  <c r="E36" i="2" s="1"/>
  <c r="D30" i="2"/>
  <c r="D35" i="2"/>
  <c r="E35" i="2" s="1"/>
  <c r="E38" i="2" s="1"/>
  <c r="D29" i="2"/>
  <c r="O28" i="1"/>
  <c r="Q28" i="1"/>
  <c r="D30" i="4"/>
  <c r="D29" i="4" s="1"/>
  <c r="M26" i="4"/>
  <c r="T26" i="4"/>
  <c r="U26" i="4" s="1"/>
  <c r="M28" i="1"/>
  <c r="H28" i="1"/>
  <c r="AH28" i="1"/>
  <c r="AI28" i="1" s="1"/>
  <c r="F65" i="11" l="1"/>
  <c r="F65" i="12"/>
  <c r="M65" i="12" s="1"/>
  <c r="I56" i="13"/>
  <c r="G61" i="5"/>
  <c r="H61" i="5" s="1"/>
  <c r="D32" i="2"/>
  <c r="F53" i="11"/>
  <c r="F70" i="11" s="1"/>
  <c r="E82" i="13"/>
  <c r="I82" i="13"/>
  <c r="E64" i="13"/>
  <c r="I64" i="13"/>
  <c r="E82" i="10"/>
  <c r="H82" i="10" s="1"/>
  <c r="I82" i="10"/>
  <c r="Q83" i="10"/>
  <c r="I88" i="10"/>
  <c r="K52" i="11"/>
  <c r="J61" i="11"/>
  <c r="E80" i="10"/>
  <c r="H80" i="10" s="1"/>
  <c r="I80" i="10"/>
  <c r="E81" i="10"/>
  <c r="H81" i="10" s="1"/>
  <c r="I81" i="10"/>
  <c r="J60" i="13"/>
  <c r="I73" i="13"/>
  <c r="K65" i="11"/>
  <c r="J68" i="11"/>
  <c r="Q62" i="10"/>
  <c r="I75" i="10"/>
  <c r="E81" i="13"/>
  <c r="I81" i="13"/>
  <c r="Q61" i="10"/>
  <c r="I74" i="10"/>
  <c r="K49" i="12"/>
  <c r="J58" i="12"/>
  <c r="E83" i="13"/>
  <c r="I83" i="13"/>
  <c r="I63" i="13"/>
  <c r="E63" i="13"/>
  <c r="J62" i="13"/>
  <c r="I75" i="13"/>
  <c r="Q63" i="10"/>
  <c r="I76" i="10"/>
  <c r="J64" i="11"/>
  <c r="F64" i="11"/>
  <c r="J63" i="11"/>
  <c r="F63" i="11"/>
  <c r="J65" i="12"/>
  <c r="K62" i="12"/>
  <c r="K51" i="12"/>
  <c r="J60" i="12"/>
  <c r="E79" i="13"/>
  <c r="I79" i="13"/>
  <c r="E80" i="13"/>
  <c r="I80" i="13"/>
  <c r="K64" i="12"/>
  <c r="J67" i="12"/>
  <c r="K63" i="12"/>
  <c r="J66" i="12"/>
  <c r="K50" i="11"/>
  <c r="J59" i="11"/>
  <c r="Q65" i="10"/>
  <c r="I78" i="10"/>
  <c r="Q64" i="10"/>
  <c r="I77" i="10"/>
  <c r="Q84" i="10"/>
  <c r="I89" i="10"/>
  <c r="J46" i="11"/>
  <c r="I58" i="9"/>
  <c r="I57" i="10"/>
  <c r="E66" i="10"/>
  <c r="S28" i="1"/>
  <c r="I60" i="9"/>
  <c r="G65" i="8"/>
  <c r="H62" i="8"/>
  <c r="E65" i="9"/>
  <c r="L65" i="9" s="1"/>
  <c r="J63" i="9"/>
  <c r="I66" i="9"/>
  <c r="H49" i="8"/>
  <c r="G58" i="8"/>
  <c r="E63" i="8"/>
  <c r="J63" i="8" s="1"/>
  <c r="E52" i="9"/>
  <c r="E69" i="9" s="1"/>
  <c r="H47" i="8"/>
  <c r="H50" i="8" s="1"/>
  <c r="J67" i="8" s="1"/>
  <c r="G56" i="8"/>
  <c r="J62" i="9"/>
  <c r="I65" i="9"/>
  <c r="H60" i="8"/>
  <c r="G63" i="8"/>
  <c r="G64" i="8"/>
  <c r="H61" i="8"/>
  <c r="I67" i="9"/>
  <c r="J64" i="9"/>
  <c r="J52" i="9"/>
  <c r="E50" i="8"/>
  <c r="E67" i="8" s="1"/>
  <c r="J57" i="9"/>
  <c r="H62" i="5"/>
  <c r="G65" i="5"/>
  <c r="H60" i="5"/>
  <c r="G63" i="5"/>
  <c r="E53" i="5"/>
  <c r="G53" i="5"/>
  <c r="E52" i="5"/>
  <c r="G52" i="5"/>
  <c r="E54" i="5"/>
  <c r="G54" i="5"/>
  <c r="E43" i="5"/>
  <c r="E63" i="5"/>
  <c r="J63" i="5" s="1"/>
  <c r="AH30" i="1"/>
  <c r="AI30" i="1" s="1"/>
  <c r="G64" i="5" l="1"/>
  <c r="E90" i="10"/>
  <c r="H90" i="10" s="1"/>
  <c r="H66" i="10"/>
  <c r="H63" i="5"/>
  <c r="L69" i="9"/>
  <c r="K53" i="11"/>
  <c r="M70" i="11" s="1"/>
  <c r="F66" i="11"/>
  <c r="M66" i="11" s="1"/>
  <c r="J66" i="11"/>
  <c r="K63" i="11"/>
  <c r="J67" i="11"/>
  <c r="K64" i="11"/>
  <c r="J63" i="13"/>
  <c r="I76" i="13"/>
  <c r="J80" i="13"/>
  <c r="I85" i="13"/>
  <c r="J79" i="13"/>
  <c r="I84" i="13"/>
  <c r="J83" i="13"/>
  <c r="I88" i="13"/>
  <c r="I86" i="13"/>
  <c r="J81" i="13"/>
  <c r="I86" i="10"/>
  <c r="Q81" i="10"/>
  <c r="I85" i="10"/>
  <c r="Q80" i="10"/>
  <c r="Q82" i="10"/>
  <c r="I87" i="10"/>
  <c r="J64" i="13"/>
  <c r="I77" i="13"/>
  <c r="I87" i="13"/>
  <c r="J82" i="13"/>
  <c r="E84" i="13"/>
  <c r="L84" i="13" s="1"/>
  <c r="K52" i="12"/>
  <c r="M69" i="12" s="1"/>
  <c r="Q66" i="10"/>
  <c r="S90" i="10" s="1"/>
  <c r="E85" i="10"/>
  <c r="K65" i="12"/>
  <c r="E65" i="13"/>
  <c r="E89" i="13" s="1"/>
  <c r="H63" i="8"/>
  <c r="J65" i="9"/>
  <c r="H54" i="5"/>
  <c r="G58" i="5"/>
  <c r="H53" i="5"/>
  <c r="G57" i="5"/>
  <c r="H52" i="5"/>
  <c r="G56" i="5"/>
  <c r="E55" i="5"/>
  <c r="E67" i="5" s="1"/>
  <c r="S85" i="10" l="1"/>
  <c r="H85" i="10"/>
  <c r="H55" i="5"/>
  <c r="J67" i="5" s="1"/>
  <c r="J65" i="13"/>
  <c r="L89" i="13" s="1"/>
  <c r="J84" i="13"/>
  <c r="Q85" i="10"/>
  <c r="K66" i="11"/>
  <c r="T14" i="1"/>
  <c r="U14" i="1" l="1"/>
  <c r="W14" i="1"/>
  <c r="T17" i="1"/>
  <c r="T15" i="1"/>
  <c r="U17" i="1" l="1"/>
  <c r="W17" i="1"/>
  <c r="U15" i="1"/>
  <c r="W15" i="1"/>
  <c r="T18" i="1"/>
  <c r="U18" i="1" l="1"/>
  <c r="W18" i="1"/>
  <c r="T19" i="1"/>
  <c r="U19" i="1" l="1"/>
  <c r="W19" i="1"/>
</calcChain>
</file>

<file path=xl/sharedStrings.xml><?xml version="1.0" encoding="utf-8"?>
<sst xmlns="http://schemas.openxmlformats.org/spreadsheetml/2006/main" count="1110" uniqueCount="291">
  <si>
    <t>Приложение № 1</t>
  </si>
  <si>
    <t>№ п/п</t>
  </si>
  <si>
    <t>Показатель</t>
  </si>
  <si>
    <t>Предложение службы по тарифам АО</t>
  </si>
  <si>
    <t>Средневзве-шенные значения 2011 года</t>
  </si>
  <si>
    <t>с 01.04.2011 по 31.12.2011</t>
  </si>
  <si>
    <t>с 1 января 2012 г.</t>
  </si>
  <si>
    <t>Темп роста гр.5 к гр.4, %</t>
  </si>
  <si>
    <t>с 1 июля 2012 г.</t>
  </si>
  <si>
    <t>3 квартал</t>
  </si>
  <si>
    <t>Темп роста гр.8 к гр.6, %</t>
  </si>
  <si>
    <t>4 квартал</t>
  </si>
  <si>
    <t>Темп роста гр.10 к гр.8, %</t>
  </si>
  <si>
    <t>Итого год</t>
  </si>
  <si>
    <t>Объем газа, млн. м3</t>
  </si>
  <si>
    <t>Оптовая цена на газ</t>
  </si>
  <si>
    <t>Тариф на транспортировку</t>
  </si>
  <si>
    <t>ПССУ</t>
  </si>
  <si>
    <t>с НДС</t>
  </si>
  <si>
    <t>Средневзвешенная цена (без учета выпадающих доходов)</t>
  </si>
  <si>
    <t>НВВ (без учета выпадающих доходов), с НДС</t>
  </si>
  <si>
    <t>Выпадающий доход, руб./1000 м³</t>
  </si>
  <si>
    <t>Средневзвешенная цена (с учетом выпадающих доходов), без НДС</t>
  </si>
  <si>
    <t>Средневзвешенная цена (с учетом выпадающих доходов), с НДС</t>
  </si>
  <si>
    <t>НВВ (с учетом выпадающих доходов), с НДС</t>
  </si>
  <si>
    <t>Региональная составляющая, без НДС</t>
  </si>
  <si>
    <t>Региональная составляющая, с НДС</t>
  </si>
  <si>
    <t>НВВ по региональной составляющей</t>
  </si>
  <si>
    <t>НВВ по региональной составляющей, с НДС</t>
  </si>
  <si>
    <t>Справочно:</t>
  </si>
  <si>
    <t>Объемы</t>
  </si>
  <si>
    <t>Розничные цены, дифференцированные по направлениям потребления газа, руб./1000 м³</t>
  </si>
  <si>
    <t>Итого</t>
  </si>
  <si>
    <t>НВВ</t>
  </si>
  <si>
    <t>Тариф</t>
  </si>
  <si>
    <t>15.1.</t>
  </si>
  <si>
    <t xml:space="preserve">Потребление газа при наличии приборов учета расхода газа и отопление жилых помещений </t>
  </si>
  <si>
    <t>15.2.</t>
  </si>
  <si>
    <r>
      <t>Приготовление пищи и горячее водоснабжение при отсутствии приборов учета расхода газа</t>
    </r>
    <r>
      <rPr>
        <sz val="12"/>
        <color indexed="10"/>
        <rFont val="Times New Roman"/>
        <family val="1"/>
        <charset val="204"/>
      </rPr>
      <t xml:space="preserve"> </t>
    </r>
  </si>
  <si>
    <t>15.3.</t>
  </si>
  <si>
    <t xml:space="preserve">Прочие цели при отсутствии приборов учета расхода газа </t>
  </si>
  <si>
    <t>Главный специалист отдела контроля и регулирования тарифов (цен) в сфере электроэнергетики и газоснабжения</t>
  </si>
  <si>
    <t>Т.В. Уханова</t>
  </si>
  <si>
    <t>Средн. Тар.</t>
  </si>
  <si>
    <t>объем</t>
  </si>
  <si>
    <t>РС1</t>
  </si>
  <si>
    <t>РС2</t>
  </si>
  <si>
    <t xml:space="preserve"> </t>
  </si>
  <si>
    <t>расчет выпадающих</t>
  </si>
  <si>
    <t>Наименование показателей</t>
  </si>
  <si>
    <t>ед.изм.</t>
  </si>
  <si>
    <t>значение показателей</t>
  </si>
  <si>
    <t>1.</t>
  </si>
  <si>
    <t xml:space="preserve">Величина НВВ по РС </t>
  </si>
  <si>
    <t>тыс.руб.</t>
  </si>
  <si>
    <t>2.</t>
  </si>
  <si>
    <t xml:space="preserve">ИТОГО </t>
  </si>
  <si>
    <t>тыс. руб.</t>
  </si>
  <si>
    <t>3.</t>
  </si>
  <si>
    <r>
      <t>млн.м</t>
    </r>
    <r>
      <rPr>
        <sz val="10"/>
        <rFont val="Arial"/>
        <family val="2"/>
        <charset val="204"/>
      </rPr>
      <t>³</t>
    </r>
  </si>
  <si>
    <t>4.</t>
  </si>
  <si>
    <r>
      <t xml:space="preserve">Объем транспортировки газа в транзитном потоке </t>
    </r>
    <r>
      <rPr>
        <b/>
        <sz val="12"/>
        <rFont val="Times New Roman"/>
        <family val="1"/>
        <charset val="204"/>
      </rPr>
      <t>(Vтр.)</t>
    </r>
  </si>
  <si>
    <t>млн.м3</t>
  </si>
  <si>
    <t>5.</t>
  </si>
  <si>
    <r>
      <t>Суммарный объем реализации газа населению</t>
    </r>
    <r>
      <rPr>
        <sz val="11"/>
        <rFont val="Times New Roman"/>
        <family val="1"/>
        <charset val="204"/>
      </rPr>
      <t>(стр.3+стр.4)</t>
    </r>
  </si>
  <si>
    <t>млн.м³</t>
  </si>
  <si>
    <t>5а.</t>
  </si>
  <si>
    <r>
      <t xml:space="preserve">Суммарный объем транспортировки газа через газораспределительные сети данной ГРО </t>
    </r>
    <r>
      <rPr>
        <b/>
        <sz val="12"/>
        <rFont val="Times New Roman"/>
        <family val="1"/>
        <charset val="204"/>
      </rPr>
      <t xml:space="preserve">(V  </t>
    </r>
    <r>
      <rPr>
        <b/>
        <vertAlign val="superscript"/>
        <sz val="12"/>
        <rFont val="Times New Roman"/>
        <family val="1"/>
        <charset val="204"/>
      </rPr>
      <t>2</t>
    </r>
    <r>
      <rPr>
        <b/>
        <sz val="12"/>
        <rFont val="Arial"/>
        <family val="2"/>
        <charset val="204"/>
      </rPr>
      <t>)</t>
    </r>
  </si>
  <si>
    <t>6.</t>
  </si>
  <si>
    <r>
      <t xml:space="preserve"> (</t>
    </r>
    <r>
      <rPr>
        <b/>
        <sz val="12"/>
        <rFont val="Times New Roman"/>
        <family val="1"/>
        <charset val="204"/>
      </rPr>
      <t xml:space="preserve">V  )+(Vтр.) </t>
    </r>
    <r>
      <rPr>
        <sz val="11"/>
        <rFont val="Times New Roman"/>
        <family val="1"/>
        <charset val="204"/>
      </rPr>
      <t>(стр.5+стр.4)</t>
    </r>
  </si>
  <si>
    <t>7.</t>
  </si>
  <si>
    <r>
      <t>Средневзвешенная региональная составляющая на газ  (РС)(</t>
    </r>
    <r>
      <rPr>
        <sz val="12"/>
        <rFont val="Times New Roman"/>
        <family val="1"/>
        <charset val="204"/>
      </rPr>
      <t>(стр.2*стр.6)/стр.5а)</t>
    </r>
  </si>
  <si>
    <t>руб./1000м³</t>
  </si>
  <si>
    <t>Сравочно 2007 год:</t>
  </si>
  <si>
    <t>Сравочно 2008 год по оц АРГ</t>
  </si>
  <si>
    <t>По оц СТ</t>
  </si>
  <si>
    <t>8.</t>
  </si>
  <si>
    <t>Объемы реализации газа по видам потребления</t>
  </si>
  <si>
    <t>8.1.</t>
  </si>
  <si>
    <t>на приготовление пищи и ГВ</t>
  </si>
  <si>
    <t>8.2.</t>
  </si>
  <si>
    <t xml:space="preserve">на отопление и счетчики </t>
  </si>
  <si>
    <t>8.3.</t>
  </si>
  <si>
    <t xml:space="preserve">на прочие цели </t>
  </si>
  <si>
    <t>9.</t>
  </si>
  <si>
    <t>Объемы реализации газа по видам потребления с учетом К</t>
  </si>
  <si>
    <t>10.</t>
  </si>
  <si>
    <t>на приготовление пищи Vхк  при к = 1,52</t>
  </si>
  <si>
    <t>11.</t>
  </si>
  <si>
    <t>на отопление и счетчики Vхк  при к = 0,3</t>
  </si>
  <si>
    <t>12.</t>
  </si>
  <si>
    <t>на прочие цели Vхк при к = 0,32</t>
  </si>
  <si>
    <t>13.</t>
  </si>
  <si>
    <t>ИТОГО  сумма (Vхк )</t>
  </si>
  <si>
    <t>14.</t>
  </si>
  <si>
    <r>
      <t xml:space="preserve">Базовая величина РС </t>
    </r>
    <r>
      <rPr>
        <sz val="12"/>
        <rFont val="Times New Roman"/>
        <family val="1"/>
        <charset val="204"/>
      </rPr>
      <t xml:space="preserve"> ((стр.7 *стр.3)/стр.13)</t>
    </r>
  </si>
  <si>
    <t>15.</t>
  </si>
  <si>
    <t>Региональная составляющая (РС) по видам потребления</t>
  </si>
  <si>
    <t>16.</t>
  </si>
  <si>
    <t xml:space="preserve">на приготовление пищи </t>
  </si>
  <si>
    <t>17.</t>
  </si>
  <si>
    <t>18.</t>
  </si>
  <si>
    <t>Проверка</t>
  </si>
  <si>
    <t xml:space="preserve">НВВ на приготовление пищи </t>
  </si>
  <si>
    <t xml:space="preserve">НВВ на отопление и счетчики </t>
  </si>
  <si>
    <t xml:space="preserve">НВВ на прочие цели </t>
  </si>
  <si>
    <t>ИТОГО</t>
  </si>
  <si>
    <t>оптов.цена</t>
  </si>
  <si>
    <t>розничн.цена</t>
  </si>
  <si>
    <t>Итого розничные цены:</t>
  </si>
  <si>
    <t>на приготовление пищи</t>
  </si>
  <si>
    <t>на прочие цели</t>
  </si>
  <si>
    <t>Н.В. Медведева</t>
  </si>
  <si>
    <r>
      <t xml:space="preserve">РАСЧЕТ розничных цен на газ, дифференцированных по видам потребления на 2013 год для ЗАО "Газпром межрегионгаз Астрахань" (с НДС) </t>
    </r>
    <r>
      <rPr>
        <sz val="12"/>
        <rFont val="Times New Roman"/>
        <family val="1"/>
        <charset val="204"/>
      </rPr>
      <t xml:space="preserve">согласно Методическим указаниям  </t>
    </r>
  </si>
  <si>
    <t>Средняя регулируемая составляющая</t>
  </si>
  <si>
    <t>НДС</t>
  </si>
  <si>
    <t>Средняя розничная цена, без НДС</t>
  </si>
  <si>
    <t>Средняя розничная цена, с НДС</t>
  </si>
  <si>
    <t>Базовая регулируемая составляющая</t>
  </si>
  <si>
    <t>коэффициенты</t>
  </si>
  <si>
    <t>розничная цена дифференцированная по различным направлениям использования газа</t>
  </si>
  <si>
    <t>Приложение № 4</t>
  </si>
  <si>
    <t>1. Расчет региональной составляющей розничной цены на природный газ</t>
  </si>
  <si>
    <t>№п/п</t>
  </si>
  <si>
    <t>Показатели</t>
  </si>
  <si>
    <t>в том числе:</t>
  </si>
  <si>
    <r>
      <t xml:space="preserve">Выручка от реализации газа населению по региональным составляющим </t>
    </r>
    <r>
      <rPr>
        <sz val="12"/>
        <rFont val="Times New Roman"/>
        <family val="1"/>
        <charset val="204"/>
      </rPr>
      <t>(тыс.руб.)</t>
    </r>
  </si>
  <si>
    <t>Тариф на транспорт.газа (руб./1000м³) *</t>
  </si>
  <si>
    <t>ПССУ (руб./1000м³)*</t>
  </si>
  <si>
    <t>транзитный тариф на транспорт.газа (руб./1000м³)</t>
  </si>
  <si>
    <t>на оплату услуг по транспорти-ровке газа (тыс.руб.)</t>
  </si>
  <si>
    <t>на оплату снаб.сбыто-вых услуг (тыс.руб.)</t>
  </si>
  <si>
    <t>на оплату транзита (тыс.руб.)</t>
  </si>
  <si>
    <t>1.1.</t>
  </si>
  <si>
    <t>без НДС</t>
  </si>
  <si>
    <t>1.2.</t>
  </si>
  <si>
    <t xml:space="preserve">2. ИТОГО по ЗАО "Астраханьрегионгаз" </t>
  </si>
  <si>
    <t>2.1.</t>
  </si>
  <si>
    <t>2.2.</t>
  </si>
  <si>
    <t xml:space="preserve">в том числе по сетям  ОАО "Астраханьоблгаз" </t>
  </si>
  <si>
    <t>2.1.1.</t>
  </si>
  <si>
    <t>2.1.2.</t>
  </si>
  <si>
    <t xml:space="preserve">в том числе по сетям ОАО "Газпромрегионгаз" </t>
  </si>
  <si>
    <t>2.2.1.</t>
  </si>
  <si>
    <t>2.2.2.</t>
  </si>
  <si>
    <t xml:space="preserve"> ИТОГО по Астраханской области</t>
  </si>
  <si>
    <t xml:space="preserve">**согласно проектам ФСТ России ( от 07.12.2007) </t>
  </si>
  <si>
    <t xml:space="preserve">***согласно проекту ФСТ России ( от 07.12.2007) </t>
  </si>
  <si>
    <t>Недополученный по независящим причинам доход (руб./1000м3)¹</t>
  </si>
  <si>
    <t>Темп роста (%)</t>
  </si>
  <si>
    <t>НВВ от реализации газа в 2008г. (тыс.руб.) 
с НДС</t>
  </si>
  <si>
    <t>Справочно: НВВ от реализации газа в 2008г. (тыс. руб.) с НДС без выпадающих доходов</t>
  </si>
  <si>
    <t>В целом по региону</t>
  </si>
  <si>
    <t>Объем газа по группам потребителей, исходя из видов потребления(млн.м3)</t>
  </si>
  <si>
    <t>НВВ от реализ.газа по видам потребления (тыс.руб.) с НДС</t>
  </si>
  <si>
    <t>Средневзвеш.розничн.цена (руб./1000м3) с НДС</t>
  </si>
  <si>
    <t>¹ - в виду задержки ФСТ России пересмотра тарифов на услуги по транспортировке газа по распределительным газопроводам  и, как следствие, позднего утверждения розничной цены на газ на 2007 год</t>
  </si>
  <si>
    <t>Расчет средней розничной цены на природный газ для населения Астраханской области в 2013 году</t>
  </si>
  <si>
    <r>
      <t xml:space="preserve">по сетям ЗАО "Газпром межрегионгаз Астрахань" </t>
    </r>
    <r>
      <rPr>
        <b/>
        <sz val="12"/>
        <color indexed="9"/>
        <rFont val="Times New Roman"/>
        <family val="1"/>
        <charset val="204"/>
      </rPr>
      <t>*</t>
    </r>
  </si>
  <si>
    <r>
      <t>* Величны, утвержденные приказами ФСТ России</t>
    </r>
    <r>
      <rPr>
        <sz val="11"/>
        <color rgb="FFFF0000"/>
        <rFont val="Times New Roman"/>
        <family val="1"/>
        <charset val="204"/>
      </rPr>
      <t xml:space="preserve"> от 04.12.2007. № 403-э/1 и от 07.12.2007 № 421-э/8. </t>
    </r>
  </si>
  <si>
    <r>
      <t>Объем транспорти-ровки газа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в 2013 году с учетом транзита </t>
    </r>
    <r>
      <rPr>
        <sz val="12"/>
        <rFont val="Times New Roman"/>
        <family val="1"/>
        <charset val="204"/>
      </rPr>
      <t>(млн.м³)*</t>
    </r>
  </si>
  <si>
    <t>Объем транспорти-ровки газа в 2013 году без транзита (млн.м³) *</t>
  </si>
  <si>
    <t>Объем транспорти-ровки газа в 2013 году в транзитном потоке (млн.м³) р</t>
  </si>
  <si>
    <t>спец. надбавка</t>
  </si>
  <si>
    <t>с 01.01.2013</t>
  </si>
  <si>
    <t>с 01.07.2013</t>
  </si>
  <si>
    <t>среднегодовая региональная составляющая розничной цены на газ</t>
  </si>
  <si>
    <r>
      <t xml:space="preserve">Региональная составляющая розничной цены на газ с 01.07.02013, </t>
    </r>
    <r>
      <rPr>
        <sz val="12"/>
        <rFont val="Times New Roman"/>
        <family val="1"/>
        <charset val="204"/>
      </rPr>
      <t>(руб./1000м³)</t>
    </r>
  </si>
  <si>
    <t>Выручка от реализации газа населению по региональным составляющим с 01.01.2013 (тыс.руб.)</t>
  </si>
  <si>
    <t>Выручка от реализации газа населению по региональным составляющим с 01.07.2013 (тыс.руб.)</t>
  </si>
  <si>
    <t>на оплату услуг по транспортировке газа (тыс.руб.)</t>
  </si>
  <si>
    <t>Региональная составляющая розничной цены на газ с 01.01.02013, (руб./1000м³)</t>
  </si>
  <si>
    <t>Оптовая цена на газ в 2013 г. (руб./1000м3)</t>
  </si>
  <si>
    <t>РС в 2013г. (руб./1000м3)</t>
  </si>
  <si>
    <t>Розничная цена на газ на 2013 г. (руб./1000м3):</t>
  </si>
  <si>
    <t>Розничная цена на газ на 2013 год (руб./1000м3) 
с НДС</t>
  </si>
  <si>
    <t>Средняя розничная цена на газ в 2012г. (руб./1000м3) 
с НДС</t>
  </si>
  <si>
    <t>Объем  газоснабжения на 2013 год</t>
  </si>
  <si>
    <t>ГОД</t>
  </si>
  <si>
    <r>
      <t xml:space="preserve">на приготовление пищи Vхк  при </t>
    </r>
    <r>
      <rPr>
        <sz val="10"/>
        <color rgb="FFFF0000"/>
        <rFont val="Arial"/>
        <family val="2"/>
        <charset val="204"/>
      </rPr>
      <t>к = 1,52</t>
    </r>
  </si>
  <si>
    <r>
      <t>на отопление и счетчики Vхк  при</t>
    </r>
    <r>
      <rPr>
        <sz val="10"/>
        <color rgb="FFFF0000"/>
        <rFont val="Arial"/>
        <family val="2"/>
        <charset val="204"/>
      </rPr>
      <t xml:space="preserve"> к = 0,3</t>
    </r>
  </si>
  <si>
    <t>УВЕЛИЧЕНИЕ ОБЪЕМОВ ЗА СЧЕТ КОЭФФИЦИЕНТА</t>
  </si>
  <si>
    <r>
      <t xml:space="preserve">Базовая величина РС  </t>
    </r>
    <r>
      <rPr>
        <sz val="10"/>
        <color rgb="FFFF0000"/>
        <rFont val="Arial"/>
        <family val="2"/>
        <charset val="204"/>
      </rPr>
      <t>((стр.7 *стр.3)/стр.13)</t>
    </r>
  </si>
  <si>
    <r>
      <t xml:space="preserve">на прочие цели Vхк при </t>
    </r>
    <r>
      <rPr>
        <sz val="10"/>
        <color rgb="FFFF0000"/>
        <rFont val="Arial"/>
        <family val="2"/>
        <charset val="204"/>
      </rPr>
      <t>к = 0,32</t>
    </r>
  </si>
  <si>
    <t>НВВ на приготовление пищи 1</t>
  </si>
  <si>
    <t>НВВ на отопление и счетчики 2</t>
  </si>
  <si>
    <t>НВВ на прочие цели 3</t>
  </si>
  <si>
    <t>СЧЕТЧИКИ</t>
  </si>
  <si>
    <t>ЗНАЧЕНИЕ ПОКАЗАТЕЛЕЙ</t>
  </si>
  <si>
    <t>ИТОГО ГОД</t>
  </si>
  <si>
    <t>С 01.01.2013</t>
  </si>
  <si>
    <t>С 01.07.2013</t>
  </si>
  <si>
    <t>ВСЕГО ГОД</t>
  </si>
  <si>
    <t>СРЕДНЕЕ ЗНАЧЕНИЕ</t>
  </si>
  <si>
    <t>розничная цена с НДС</t>
  </si>
  <si>
    <t>НВВ организации</t>
  </si>
  <si>
    <t>темп роста, %</t>
  </si>
  <si>
    <t>НВВ с НДС</t>
  </si>
  <si>
    <t>темп роста</t>
  </si>
  <si>
    <t>Приготовление пищи и нагрев воды с использованием газовой плиты (в отсутствие других направлений использования газа);
Нагрев воды с использованием газового водонагревателя при отсутствии центрального горячего водоснабжения (в отсутствие других направлений использования газа)</t>
  </si>
  <si>
    <t>Приготовление пищи и нагрев воды с использованием газовой плиты и нагрев воды с использованием газового водонагревателя при отсутствии центрального горячего водоснабжения (в отсутствие других направлений использования газа)</t>
  </si>
  <si>
    <t>Отопление с одновременным использованием газа на другие цели (кроме направлений использования газа, указанных в пунктах 4, 5, 6 настоящего приложения) и по приборам учета газа</t>
  </si>
  <si>
    <t>Отопление с одновременным использованием газа на другие цели (кроме направлений использования газа, указанных в пунктах 4, 5, 6 настоящего приложения)и по приборам учета газа</t>
  </si>
  <si>
    <t>с коэффициентом = 1</t>
  </si>
  <si>
    <t>с применением минимального коэффициента, указанного в Методических указаниях</t>
  </si>
  <si>
    <t>Проверка НВВ</t>
  </si>
  <si>
    <r>
      <t xml:space="preserve">РАСЧЕТ розничных цен на газ, дифференцированных по видам потребления на 2013 год для ЗАО "Газпром межрегионгаз Астрахань" (с НДС) </t>
    </r>
    <r>
      <rPr>
        <sz val="12"/>
        <rFont val="Times New Roman"/>
        <family val="1"/>
        <charset val="204"/>
      </rPr>
      <t xml:space="preserve">согласно Методическим указаниям № 252-э/2 </t>
    </r>
  </si>
  <si>
    <t>Приложение к письму службы по тарифам Астраханской  области от ____.12.2012 № СТ/02-20-______</t>
  </si>
  <si>
    <t>НВВ расчетное</t>
  </si>
  <si>
    <t>формула = объем * регион составл по видам потребл (нет в формуле оптовой цены и НДС</t>
  </si>
  <si>
    <t xml:space="preserve"> с 01.01.2014</t>
  </si>
  <si>
    <t>темп роста перв полуг 2014 ко втор полуг 2013</t>
  </si>
  <si>
    <r>
      <t xml:space="preserve">Расчет розничных цен на природный газ, с учетом дифференциации по направлениям использования газа на 2013 год для ЗАО "Газпром межрегионгаз Астрахань"(в соответствии с Методическими указаниями от 27.10.2011 № 252-э/2) </t>
    </r>
    <r>
      <rPr>
        <sz val="12"/>
        <rFont val="Times New Roman"/>
        <family val="1"/>
        <charset val="204"/>
      </rPr>
      <t xml:space="preserve"> </t>
    </r>
  </si>
  <si>
    <t xml:space="preserve">Приложение № 1 </t>
  </si>
  <si>
    <t xml:space="preserve">Приготовление пищи и нагрев воды с использованием газовой плиты (в отсутствие других направлений использования газа);
Нагрев воды с использованием газового водонагревателя при отсутствии центрального горячего водоснабжения (в отсутствие других направлений использования газа)
</t>
  </si>
  <si>
    <t xml:space="preserve">Отопление с одновременным использованием газа на другие цели
Учет объемов по приборам учета газа
</t>
  </si>
  <si>
    <t>темп роста, % (гр. 4/гр. 3)</t>
  </si>
  <si>
    <r>
      <t xml:space="preserve">Расчет розничных цен на природный газ, с учетом дифференциации по направлениям использования газа на 2013 год для ЗАО "Газпром межрегионгаз Астрахань"(в соответствии с Методическими указаниями от 27.10.2011 № 252-э/2) </t>
    </r>
    <r>
      <rPr>
        <sz val="14"/>
        <rFont val="Times New Roman"/>
        <family val="1"/>
        <charset val="204"/>
      </rPr>
      <t xml:space="preserve"> </t>
    </r>
  </si>
  <si>
    <t>(с НДС)</t>
  </si>
  <si>
    <t>Наименование направлений (набора направлений) использования газа</t>
  </si>
  <si>
    <t>Объем газа, в т.ч. ( млн. м3):</t>
  </si>
  <si>
    <r>
      <t xml:space="preserve">Отопление с одновременным использованием газа на другие цели (кроме направлений использования газа, указанных в пунктах 4, 5 настоящего приложения) </t>
    </r>
    <r>
      <rPr>
        <b/>
        <sz val="12"/>
        <color rgb="FFFF0000"/>
        <rFont val="Times New Roman"/>
        <family val="1"/>
        <charset val="204"/>
      </rPr>
      <t>и по приборам учета газа</t>
    </r>
  </si>
  <si>
    <t>Отопление и (или) выработка электрической энергии с использованием котельных всех типов и (или) иного оборудования, находящихся в общей долевой собственности собственников помещений в многоквартирных домах с годовым объемом потребления газа свыше 100 тыс.</t>
  </si>
  <si>
    <t>Коэффициенты</t>
  </si>
  <si>
    <t>Розничная цена дифференцированная по различным направлениям использования газа, руб./1000 м3</t>
  </si>
  <si>
    <t>Розничная цена на природный газ, реализуемый населению ЗАО "Газпром межрегионгаз Астрахань" на территории Астраханской области</t>
  </si>
  <si>
    <t>Единица измерения</t>
  </si>
  <si>
    <t xml:space="preserve">Розничная цена на природный газ, руб. / 1000 м3 </t>
  </si>
  <si>
    <t>с 01.01.2013 по 30.06.2013</t>
  </si>
  <si>
    <t>с 01.07.2013 по 31.12.2013</t>
  </si>
  <si>
    <t>Отопление и (или) выработка электрической энергии с использованием котельных всех типов и (или) иного оборудования, находящихся в общей долевой собственности собственников помещений в многоквартирных домах с годовым объемом потребления газа до 10 тыс. и от 10 до 100 тыс. включительно</t>
  </si>
  <si>
    <t xml:space="preserve">Отопление с одновременным использованием газа на другие цели (кроме направлений указанных в п. 4, 5.)
Потребление газа при наличии приборов учета расхода газа (счетчики)
</t>
  </si>
  <si>
    <t>Темп роста гр.4 к гр.3, %</t>
  </si>
  <si>
    <t>Темп роста гр.7 к гр.4, %</t>
  </si>
  <si>
    <t>Темп роста гр.9 к гр.7, %</t>
  </si>
  <si>
    <t>Темп роста гр. 11 к гр. 6, %</t>
  </si>
  <si>
    <t>Ед. изм.</t>
  </si>
  <si>
    <t>Темп роста, % (гр.6/гр.5)</t>
  </si>
  <si>
    <t>Темп роста, % (гр.7/гр.6)</t>
  </si>
  <si>
    <t>руб./1000 м3</t>
  </si>
  <si>
    <t>Направления использования газа населением</t>
  </si>
  <si>
    <t>* На основании п. 13 Методических указаний по регулированию розничных цен на газ, реализуемый населению, утвержденными Приказом ФСТ России от 27.10.2011 № 252-э/2 применяется для потребителей газа при наличии приборов учета расхода газа (счетчики)</t>
  </si>
  <si>
    <t>Примечание:</t>
  </si>
  <si>
    <t>Потребление газа при наличии приборов учета расхода газа (счетчики)</t>
  </si>
  <si>
    <t xml:space="preserve">Действующая розничная цена на природный газ без дифференциации по направлениям использования газа на территории Астраханской области в 2012 году </t>
  </si>
  <si>
    <t xml:space="preserve">Средняя розничная цена, с НДС </t>
  </si>
  <si>
    <t>Отопление и (или) выработка электрической энергии с использованием котельных всех типов и (или) иного оборудования, находящихся в общей долевой собственности собственников помещений в многоквартирных домах с годовым объемом потребления газа до 10 тыс. м3 и от 10 до 100 тыс. м3, включительно</t>
  </si>
  <si>
    <t>Отопление и (или) выработка электрической энергии с использованием котельных всех типов и (или) иного оборудования, находящихся в общей долевой собственности собственников помещений в многоквартирных домах с годовым объемом потребления газа свыше 100 тыс. м3</t>
  </si>
  <si>
    <t xml:space="preserve">Отопление с одновременным использованием газа на другие цели (кроме направлений ипользования газа, указанных в пунктах 4, 5 настоящего приложения)
</t>
  </si>
  <si>
    <t>Объем газа, в т.ч.:</t>
  </si>
  <si>
    <t>Розничная цена дифференцированная по различным направлениям использования газа</t>
  </si>
  <si>
    <t>с 01.01.2012 по 30.06.2012</t>
  </si>
  <si>
    <t>с 01.07.2012 по 31.12.2012</t>
  </si>
  <si>
    <t>2012 год</t>
  </si>
  <si>
    <r>
      <t xml:space="preserve">Базовая величина РС  </t>
    </r>
    <r>
      <rPr>
        <sz val="14"/>
        <color rgb="FFFF0000"/>
        <rFont val="Times New Roman"/>
        <family val="1"/>
        <charset val="204"/>
      </rPr>
      <t>((стр.7 *стр.3)/стр.13)</t>
    </r>
  </si>
  <si>
    <t>Главный специалист  отдела контроля и регулирования тарифов (цен) в сфере электроэнергетики и газоснабжения</t>
  </si>
  <si>
    <t>А.П.Алимова</t>
  </si>
  <si>
    <t>темп роста, %      (гр.5/гр. 4)</t>
  </si>
  <si>
    <t>Темп роста, % (гр.8/гр.7)</t>
  </si>
  <si>
    <t>Темп роста, % (гр.7/гр.5)</t>
  </si>
  <si>
    <t>c 01.01.2015</t>
  </si>
  <si>
    <t>Розничные цены на природный газ, реализуемый населению  Астраханской области ООО «Газпром межрегионгаз Астрахань»</t>
  </si>
  <si>
    <t>Расчет значения средневзвешенной розничной цены на природный газ, реализуемый населению  Астраханской области ООО «Газпром межрегионгаз Астрахань», без учета дифференциации по направлениям использования газа</t>
  </si>
  <si>
    <t>Розничная цена на природный газ, реализуемый населению  Астраханской области ООО «Газпром межрегионгаз Астрахань» (ОГРН 1163025054499)</t>
  </si>
  <si>
    <t xml:space="preserve">Розничная цена на природный газ,                                                                                           руб. / 1000 м3 </t>
  </si>
  <si>
    <t xml:space="preserve">Розничные цены на природный газ с учетом дифференциации по направлениям использования газа на территории Астраханской области на 2017 год </t>
  </si>
  <si>
    <t>с 01.01.2017 по 30.06.2017</t>
  </si>
  <si>
    <t>с 01.07.2017 по 31.12.2017</t>
  </si>
  <si>
    <t>2017 год</t>
  </si>
  <si>
    <t>c 01.07.2017</t>
  </si>
  <si>
    <r>
      <t xml:space="preserve">Приложение к постановлению службы по тарифам Астраханской области от </t>
    </r>
    <r>
      <rPr>
        <sz val="13"/>
        <color theme="3"/>
        <rFont val="Times New Roman"/>
        <family val="1"/>
        <charset val="204"/>
      </rPr>
      <t>26.06.2017 № 00</t>
    </r>
  </si>
  <si>
    <t>Расчет розничных цен на природный газ, реализуемый населению Астраханской области ООО «Газпром межрегионгаз Астрахань», дифференцированно по направлениям (наборам направлений) использования газа, на 2018 год (в соответствии с Методическими указаниями от 27.10.2011 № 252-э/2)</t>
  </si>
  <si>
    <t>с 01.01.2018 по 30.06.2018</t>
  </si>
  <si>
    <t>с 01.07.2018 по 31.12.2018</t>
  </si>
  <si>
    <t xml:space="preserve">Розничные цены на природный газ с учетом дифференциации по направлениям использования газа на территории Астраханской области на 2018 год </t>
  </si>
  <si>
    <t>Темп роста гр.11 к гр.6, % (2018г.к 2017 г.)</t>
  </si>
  <si>
    <t>с 1 января 2017 г.</t>
  </si>
  <si>
    <t>с 1 июля 2017 г.</t>
  </si>
  <si>
    <t>ИТОГО 2017 ГОД</t>
  </si>
  <si>
    <t>ИТОГО 2018 год</t>
  </si>
  <si>
    <t>Темп роста гр.7 к гр.4, % (1 пол 2018 года ко 2 пол 2017 года)</t>
  </si>
  <si>
    <t>2018 год (НДС 18%)</t>
  </si>
  <si>
    <t>с 01.01.2019 (НДС 20%)</t>
  </si>
  <si>
    <t>с 1 января 2019 года</t>
  </si>
  <si>
    <t>с 01.01.2019</t>
  </si>
  <si>
    <t xml:space="preserve">темп роста, % (гр.8/гр.5) </t>
  </si>
  <si>
    <t>темп роста, %        (гр.5/гр.4)</t>
  </si>
  <si>
    <t>с 01.01.2018 по 30.06.2018 года</t>
  </si>
  <si>
    <t>с 01.07.2018 по 31.12.2018 года</t>
  </si>
  <si>
    <t>Приложение № 1 к протоколу службы по тарифам Астраханской области от 05.12.2018 № 142</t>
  </si>
  <si>
    <t>Приложение № 2 к протоколу службы по тарифам Астраханской области от 05.12.2018 №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</si>
</sst>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#,##0.0000"/>
    <numFmt numFmtId="166" formatCode="0.0000"/>
    <numFmt numFmtId="167" formatCode="0.000"/>
    <numFmt numFmtId="168" formatCode="0.0"/>
    <numFmt numFmtId="169" formatCode="0.0000000"/>
    <numFmt numFmtId="170" formatCode="#,##0.000"/>
  </numFmts>
  <fonts count="86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color indexed="9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9"/>
      <name val="Arial Cyr"/>
      <charset val="204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vertAlign val="superscript"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8"/>
      <name val="Arial Cyr"/>
      <charset val="204"/>
    </font>
    <font>
      <b/>
      <sz val="9"/>
      <name val="Times New Roman"/>
      <family val="1"/>
      <charset val="204"/>
    </font>
    <font>
      <i/>
      <sz val="10"/>
      <name val="Arial Cyr"/>
      <charset val="204"/>
    </font>
    <font>
      <sz val="13"/>
      <color indexed="9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Arial Cyr"/>
      <family val="2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0070C0"/>
      <name val="Arial"/>
      <family val="2"/>
      <charset val="204"/>
    </font>
    <font>
      <b/>
      <sz val="10"/>
      <color rgb="FF0070C0"/>
      <name val="Arial"/>
      <family val="2"/>
      <charset val="204"/>
    </font>
    <font>
      <sz val="10"/>
      <color rgb="FFFFFF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b/>
      <sz val="15"/>
      <name val="Arial"/>
      <family val="2"/>
      <charset val="204"/>
    </font>
    <font>
      <sz val="11"/>
      <name val="Arial"/>
      <family val="2"/>
      <charset val="204"/>
    </font>
    <font>
      <b/>
      <sz val="16"/>
      <color rgb="FFFF0000"/>
      <name val="Arial"/>
      <family val="2"/>
      <charset val="204"/>
    </font>
    <font>
      <sz val="10"/>
      <color theme="9" tint="-0.249977111117893"/>
      <name val="Arial"/>
      <family val="2"/>
      <charset val="204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u/>
      <sz val="12"/>
      <color theme="5" tint="-0.499984740745262"/>
      <name val="Times New Roman"/>
      <family val="1"/>
      <charset val="204"/>
    </font>
    <font>
      <i/>
      <sz val="12"/>
      <color theme="5" tint="-0.499984740745262"/>
      <name val="Times New Roman"/>
      <family val="1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sz val="14"/>
      <color rgb="FFFFFF00"/>
      <name val="Times New Roman"/>
      <family val="1"/>
      <charset val="204"/>
    </font>
    <font>
      <sz val="11.5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3.5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3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sz val="13.5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i/>
      <sz val="14"/>
      <color theme="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7" fillId="0" borderId="0"/>
    <xf numFmtId="0" fontId="53" fillId="0" borderId="0"/>
  </cellStyleXfs>
  <cellXfs count="779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4" fontId="9" fillId="0" borderId="1" xfId="1" applyNumberFormat="1" applyFont="1" applyFill="1" applyBorder="1" applyAlignment="1">
      <alignment horizontal="right" vertical="center" wrapText="1"/>
    </xf>
    <xf numFmtId="3" fontId="7" fillId="0" borderId="1" xfId="1" applyNumberFormat="1" applyFont="1" applyFill="1" applyBorder="1" applyAlignment="1">
      <alignment horizontal="right" vertical="center" wrapText="1"/>
    </xf>
    <xf numFmtId="4" fontId="6" fillId="0" borderId="1" xfId="1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1" xfId="1" applyNumberFormat="1" applyFont="1" applyFill="1" applyBorder="1" applyAlignment="1">
      <alignment horizontal="right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2" fillId="3" borderId="0" xfId="0" applyFont="1" applyFill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6" fillId="0" borderId="1" xfId="0" applyFont="1" applyFill="1" applyBorder="1" applyAlignment="1">
      <alignment horizontal="right" vertical="center" wrapText="1"/>
    </xf>
    <xf numFmtId="3" fontId="16" fillId="0" borderId="1" xfId="0" applyNumberFormat="1" applyFont="1" applyFill="1" applyBorder="1" applyAlignment="1">
      <alignment horizontal="right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7" fillId="0" borderId="0" xfId="2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18" fillId="0" borderId="0" xfId="2" applyFont="1" applyAlignment="1">
      <alignment vertical="center"/>
    </xf>
    <xf numFmtId="0" fontId="17" fillId="0" borderId="1" xfId="2" applyBorder="1" applyAlignment="1">
      <alignment vertical="center"/>
    </xf>
    <xf numFmtId="0" fontId="19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2" fontId="21" fillId="0" borderId="1" xfId="2" applyNumberFormat="1" applyFont="1" applyBorder="1" applyAlignment="1">
      <alignment vertical="center"/>
    </xf>
    <xf numFmtId="0" fontId="22" fillId="0" borderId="1" xfId="2" applyFont="1" applyBorder="1" applyAlignment="1">
      <alignment vertical="center"/>
    </xf>
    <xf numFmtId="0" fontId="6" fillId="0" borderId="1" xfId="2" applyFont="1" applyFill="1" applyBorder="1" applyAlignment="1">
      <alignment vertical="center" wrapText="1"/>
    </xf>
    <xf numFmtId="0" fontId="23" fillId="0" borderId="1" xfId="2" applyFont="1" applyBorder="1" applyAlignment="1">
      <alignment horizontal="center" vertical="center"/>
    </xf>
    <xf numFmtId="2" fontId="6" fillId="0" borderId="1" xfId="2" applyNumberFormat="1" applyFont="1" applyBorder="1" applyAlignment="1">
      <alignment vertical="center"/>
    </xf>
    <xf numFmtId="0" fontId="24" fillId="0" borderId="0" xfId="2" applyFont="1" applyAlignment="1">
      <alignment vertical="center"/>
    </xf>
    <xf numFmtId="0" fontId="25" fillId="0" borderId="0" xfId="2" applyFont="1" applyAlignment="1">
      <alignment vertical="center"/>
    </xf>
    <xf numFmtId="0" fontId="26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1" fillId="0" borderId="1" xfId="2" applyFont="1" applyBorder="1" applyAlignment="1">
      <alignment vertical="center"/>
    </xf>
    <xf numFmtId="0" fontId="6" fillId="0" borderId="1" xfId="2" applyFont="1" applyBorder="1" applyAlignment="1">
      <alignment vertical="center" wrapText="1"/>
    </xf>
    <xf numFmtId="0" fontId="27" fillId="0" borderId="1" xfId="2" applyFont="1" applyBorder="1" applyAlignment="1">
      <alignment vertical="center"/>
    </xf>
    <xf numFmtId="0" fontId="28" fillId="0" borderId="1" xfId="2" applyFont="1" applyBorder="1" applyAlignment="1">
      <alignment vertical="center"/>
    </xf>
    <xf numFmtId="0" fontId="31" fillId="0" borderId="0" xfId="2" applyFont="1" applyAlignment="1">
      <alignment vertical="center"/>
    </xf>
    <xf numFmtId="0" fontId="32" fillId="0" borderId="1" xfId="2" applyFont="1" applyBorder="1" applyAlignment="1">
      <alignment horizontal="center" vertical="center" wrapText="1"/>
    </xf>
    <xf numFmtId="2" fontId="27" fillId="0" borderId="1" xfId="2" applyNumberFormat="1" applyFont="1" applyFill="1" applyBorder="1" applyAlignment="1">
      <alignment vertical="center"/>
    </xf>
    <xf numFmtId="0" fontId="25" fillId="0" borderId="0" xfId="2" applyFont="1" applyFill="1" applyAlignment="1">
      <alignment horizontal="center" vertical="center" wrapText="1"/>
    </xf>
    <xf numFmtId="0" fontId="25" fillId="0" borderId="0" xfId="2" applyFont="1" applyFill="1" applyAlignment="1">
      <alignment vertical="center"/>
    </xf>
    <xf numFmtId="0" fontId="6" fillId="0" borderId="1" xfId="2" applyFont="1" applyBorder="1" applyAlignment="1">
      <alignment vertical="center"/>
    </xf>
    <xf numFmtId="0" fontId="6" fillId="0" borderId="0" xfId="2" applyFont="1" applyAlignment="1">
      <alignment vertical="center" wrapText="1"/>
    </xf>
    <xf numFmtId="167" fontId="33" fillId="0" borderId="1" xfId="2" applyNumberFormat="1" applyFont="1" applyBorder="1" applyAlignment="1">
      <alignment vertical="center"/>
    </xf>
    <xf numFmtId="167" fontId="25" fillId="0" borderId="0" xfId="2" applyNumberFormat="1" applyFont="1" applyFill="1" applyBorder="1" applyAlignment="1">
      <alignment vertical="center"/>
    </xf>
    <xf numFmtId="2" fontId="25" fillId="0" borderId="0" xfId="2" applyNumberFormat="1" applyFont="1" applyFill="1" applyAlignment="1">
      <alignment vertical="center"/>
    </xf>
    <xf numFmtId="0" fontId="2" fillId="0" borderId="1" xfId="2" applyFont="1" applyBorder="1" applyAlignment="1">
      <alignment vertical="center"/>
    </xf>
    <xf numFmtId="167" fontId="21" fillId="0" borderId="1" xfId="2" applyNumberFormat="1" applyFont="1" applyBorder="1" applyAlignment="1">
      <alignment vertical="center"/>
    </xf>
    <xf numFmtId="167" fontId="34" fillId="0" borderId="0" xfId="2" applyNumberFormat="1" applyFont="1" applyFill="1" applyBorder="1" applyAlignment="1">
      <alignment vertical="center"/>
    </xf>
    <xf numFmtId="167" fontId="35" fillId="0" borderId="1" xfId="2" applyNumberFormat="1" applyFont="1" applyBorder="1" applyAlignment="1">
      <alignment vertical="center"/>
    </xf>
    <xf numFmtId="0" fontId="17" fillId="0" borderId="1" xfId="2" applyFill="1" applyBorder="1" applyAlignment="1">
      <alignment vertical="center"/>
    </xf>
    <xf numFmtId="167" fontId="36" fillId="0" borderId="1" xfId="2" applyNumberFormat="1" applyFont="1" applyBorder="1" applyAlignment="1">
      <alignment vertical="center"/>
    </xf>
    <xf numFmtId="2" fontId="27" fillId="0" borderId="1" xfId="2" applyNumberFormat="1" applyFont="1" applyBorder="1" applyAlignment="1">
      <alignment vertical="center"/>
    </xf>
    <xf numFmtId="0" fontId="37" fillId="0" borderId="1" xfId="2" applyFont="1" applyBorder="1" applyAlignment="1">
      <alignment horizontal="center" vertical="center" wrapText="1"/>
    </xf>
    <xf numFmtId="0" fontId="2" fillId="0" borderId="0" xfId="2" applyFont="1" applyBorder="1" applyAlignment="1">
      <alignment vertical="center"/>
    </xf>
    <xf numFmtId="0" fontId="37" fillId="0" borderId="0" xfId="2" applyFont="1" applyBorder="1" applyAlignment="1">
      <alignment horizontal="center" vertical="center" wrapText="1"/>
    </xf>
    <xf numFmtId="2" fontId="27" fillId="0" borderId="0" xfId="2" applyNumberFormat="1" applyFont="1" applyBorder="1" applyAlignment="1">
      <alignment vertical="center"/>
    </xf>
    <xf numFmtId="0" fontId="17" fillId="0" borderId="0" xfId="2" applyBorder="1" applyAlignment="1">
      <alignment vertical="center"/>
    </xf>
    <xf numFmtId="0" fontId="6" fillId="0" borderId="0" xfId="2" applyFont="1" applyFill="1" applyBorder="1" applyAlignment="1">
      <alignment vertical="center"/>
    </xf>
    <xf numFmtId="0" fontId="17" fillId="0" borderId="0" xfId="2" applyBorder="1" applyAlignment="1">
      <alignment horizontal="center" vertical="center"/>
    </xf>
    <xf numFmtId="168" fontId="17" fillId="0" borderId="1" xfId="2" applyNumberFormat="1" applyBorder="1" applyAlignment="1">
      <alignment vertical="center"/>
    </xf>
    <xf numFmtId="0" fontId="17" fillId="0" borderId="0" xfId="2" applyFill="1" applyBorder="1" applyAlignment="1">
      <alignment vertical="center"/>
    </xf>
    <xf numFmtId="0" fontId="2" fillId="0" borderId="1" xfId="2" applyFont="1" applyFill="1" applyBorder="1" applyAlignment="1">
      <alignment vertical="center"/>
    </xf>
    <xf numFmtId="0" fontId="37" fillId="0" borderId="1" xfId="2" applyFont="1" applyFill="1" applyBorder="1" applyAlignment="1">
      <alignment horizontal="center" vertical="center" wrapText="1"/>
    </xf>
    <xf numFmtId="168" fontId="17" fillId="0" borderId="1" xfId="2" applyNumberFormat="1" applyFill="1" applyBorder="1" applyAlignment="1">
      <alignment vertical="center"/>
    </xf>
    <xf numFmtId="0" fontId="6" fillId="0" borderId="1" xfId="2" applyFont="1" applyFill="1" applyBorder="1" applyAlignment="1">
      <alignment vertical="center"/>
    </xf>
    <xf numFmtId="2" fontId="22" fillId="0" borderId="1" xfId="2" applyNumberFormat="1" applyFont="1" applyFill="1" applyBorder="1" applyAlignment="1">
      <alignment vertical="center"/>
    </xf>
    <xf numFmtId="0" fontId="2" fillId="0" borderId="0" xfId="2" applyFont="1" applyFill="1" applyBorder="1" applyAlignment="1">
      <alignment vertical="center"/>
    </xf>
    <xf numFmtId="0" fontId="37" fillId="0" borderId="0" xfId="2" applyFont="1" applyFill="1" applyBorder="1" applyAlignment="1">
      <alignment horizontal="center" vertical="center" wrapText="1"/>
    </xf>
    <xf numFmtId="166" fontId="17" fillId="0" borderId="0" xfId="2" applyNumberFormat="1" applyBorder="1" applyAlignment="1">
      <alignment vertical="center"/>
    </xf>
    <xf numFmtId="167" fontId="17" fillId="0" borderId="0" xfId="2" applyNumberFormat="1" applyAlignment="1">
      <alignment vertical="center"/>
    </xf>
    <xf numFmtId="166" fontId="17" fillId="0" borderId="0" xfId="2" applyNumberFormat="1" applyAlignment="1">
      <alignment vertical="center"/>
    </xf>
    <xf numFmtId="0" fontId="17" fillId="0" borderId="0" xfId="2" applyAlignment="1">
      <alignment horizontal="center" vertical="center"/>
    </xf>
    <xf numFmtId="167" fontId="22" fillId="0" borderId="0" xfId="2" applyNumberFormat="1" applyFont="1" applyFill="1" applyAlignment="1">
      <alignment vertical="center"/>
    </xf>
    <xf numFmtId="0" fontId="2" fillId="0" borderId="0" xfId="2" applyFont="1" applyAlignment="1">
      <alignment horizontal="left" vertical="center" wrapText="1"/>
    </xf>
    <xf numFmtId="0" fontId="17" fillId="0" borderId="1" xfId="0" applyFont="1" applyBorder="1"/>
    <xf numFmtId="0" fontId="0" fillId="4" borderId="1" xfId="0" applyFill="1" applyBorder="1"/>
    <xf numFmtId="4" fontId="0" fillId="5" borderId="1" xfId="0" applyNumberFormat="1" applyFill="1" applyBorder="1"/>
    <xf numFmtId="4" fontId="0" fillId="0" borderId="1" xfId="0" applyNumberFormat="1" applyBorder="1"/>
    <xf numFmtId="0" fontId="0" fillId="0" borderId="1" xfId="0" applyBorder="1"/>
    <xf numFmtId="0" fontId="38" fillId="0" borderId="1" xfId="0" applyFont="1" applyBorder="1"/>
    <xf numFmtId="0" fontId="38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0" fillId="4" borderId="0" xfId="0" applyFill="1" applyBorder="1"/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/>
    </xf>
    <xf numFmtId="2" fontId="6" fillId="0" borderId="0" xfId="0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vertical="center"/>
    </xf>
    <xf numFmtId="168" fontId="6" fillId="0" borderId="0" xfId="0" applyNumberFormat="1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vertical="center"/>
    </xf>
    <xf numFmtId="0" fontId="19" fillId="0" borderId="7" xfId="0" applyFont="1" applyFill="1" applyBorder="1" applyAlignment="1">
      <alignment horizontal="left" vertical="center" wrapText="1"/>
    </xf>
    <xf numFmtId="2" fontId="19" fillId="0" borderId="7" xfId="0" applyNumberFormat="1" applyFont="1" applyFill="1" applyBorder="1" applyAlignment="1">
      <alignment vertical="center"/>
    </xf>
    <xf numFmtId="167" fontId="19" fillId="6" borderId="1" xfId="0" applyNumberFormat="1" applyFont="1" applyFill="1" applyBorder="1" applyAlignment="1">
      <alignment vertical="center"/>
    </xf>
    <xf numFmtId="2" fontId="44" fillId="0" borderId="7" xfId="0" applyNumberFormat="1" applyFont="1" applyFill="1" applyBorder="1" applyAlignment="1">
      <alignment vertical="center"/>
    </xf>
    <xf numFmtId="0" fontId="19" fillId="0" borderId="7" xfId="0" applyFont="1" applyFill="1" applyBorder="1" applyAlignment="1">
      <alignment vertical="center"/>
    </xf>
    <xf numFmtId="2" fontId="43" fillId="0" borderId="7" xfId="0" applyNumberFormat="1" applyFont="1" applyFill="1" applyBorder="1" applyAlignment="1">
      <alignment vertical="center"/>
    </xf>
    <xf numFmtId="167" fontId="43" fillId="0" borderId="7" xfId="0" applyNumberFormat="1" applyFont="1" applyFill="1" applyBorder="1" applyAlignment="1">
      <alignment vertical="center"/>
    </xf>
    <xf numFmtId="167" fontId="19" fillId="0" borderId="0" xfId="0" applyNumberFormat="1" applyFont="1" applyFill="1" applyAlignment="1">
      <alignment vertical="center"/>
    </xf>
    <xf numFmtId="167" fontId="19" fillId="0" borderId="1" xfId="0" applyNumberFormat="1" applyFont="1" applyFill="1" applyBorder="1" applyAlignment="1">
      <alignment vertical="center"/>
    </xf>
    <xf numFmtId="0" fontId="42" fillId="0" borderId="0" xfId="0" applyFont="1" applyFill="1" applyBorder="1" applyAlignment="1">
      <alignment vertical="center"/>
    </xf>
    <xf numFmtId="167" fontId="43" fillId="0" borderId="1" xfId="0" applyNumberFormat="1" applyFont="1" applyFill="1" applyBorder="1" applyAlignment="1">
      <alignment vertical="center"/>
    </xf>
    <xf numFmtId="168" fontId="19" fillId="0" borderId="0" xfId="0" applyNumberFormat="1" applyFont="1" applyFill="1" applyAlignment="1">
      <alignment vertical="center"/>
    </xf>
    <xf numFmtId="2" fontId="19" fillId="0" borderId="1" xfId="0" applyNumberFormat="1" applyFont="1" applyFill="1" applyBorder="1" applyAlignment="1">
      <alignment vertical="center"/>
    </xf>
    <xf numFmtId="2" fontId="19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167" fontId="19" fillId="6" borderId="7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 wrapText="1"/>
    </xf>
    <xf numFmtId="2" fontId="4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" fontId="43" fillId="0" borderId="7" xfId="0" applyNumberFormat="1" applyFont="1" applyFill="1" applyBorder="1" applyAlignment="1">
      <alignment vertical="center"/>
    </xf>
    <xf numFmtId="0" fontId="46" fillId="0" borderId="1" xfId="0" applyFont="1" applyFill="1" applyBorder="1" applyAlignment="1">
      <alignment horizontal="center" vertical="center" wrapText="1"/>
    </xf>
    <xf numFmtId="2" fontId="46" fillId="0" borderId="7" xfId="0" applyNumberFormat="1" applyFont="1" applyFill="1" applyBorder="1" applyAlignment="1">
      <alignment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 wrapText="1"/>
    </xf>
    <xf numFmtId="4" fontId="21" fillId="0" borderId="1" xfId="2" applyNumberFormat="1" applyFont="1" applyBorder="1" applyAlignment="1">
      <alignment vertical="center"/>
    </xf>
    <xf numFmtId="2" fontId="47" fillId="0" borderId="1" xfId="2" applyNumberFormat="1" applyFont="1" applyFill="1" applyBorder="1" applyAlignment="1">
      <alignment vertical="center"/>
    </xf>
    <xf numFmtId="167" fontId="48" fillId="0" borderId="1" xfId="2" applyNumberFormat="1" applyFont="1" applyBorder="1" applyAlignment="1">
      <alignment vertical="center"/>
    </xf>
    <xf numFmtId="2" fontId="17" fillId="0" borderId="0" xfId="2" applyNumberFormat="1" applyBorder="1" applyAlignment="1">
      <alignment horizontal="center" vertical="center"/>
    </xf>
    <xf numFmtId="0" fontId="38" fillId="2" borderId="1" xfId="0" applyFont="1" applyFill="1" applyBorder="1"/>
    <xf numFmtId="0" fontId="49" fillId="0" borderId="1" xfId="0" applyFont="1" applyBorder="1"/>
    <xf numFmtId="0" fontId="17" fillId="0" borderId="0" xfId="0" applyFont="1"/>
    <xf numFmtId="0" fontId="49" fillId="0" borderId="0" xfId="0" applyFont="1"/>
    <xf numFmtId="0" fontId="49" fillId="2" borderId="0" xfId="0" applyFont="1" applyFill="1"/>
    <xf numFmtId="0" fontId="50" fillId="2" borderId="1" xfId="0" applyFont="1" applyFill="1" applyBorder="1"/>
    <xf numFmtId="0" fontId="51" fillId="2" borderId="1" xfId="0" applyFont="1" applyFill="1" applyBorder="1" applyAlignment="1">
      <alignment horizontal="left"/>
    </xf>
    <xf numFmtId="0" fontId="50" fillId="5" borderId="1" xfId="0" applyFont="1" applyFill="1" applyBorder="1"/>
    <xf numFmtId="0" fontId="50" fillId="0" borderId="1" xfId="0" applyFont="1" applyFill="1" applyBorder="1"/>
    <xf numFmtId="0" fontId="51" fillId="0" borderId="1" xfId="0" applyFont="1" applyFill="1" applyBorder="1" applyAlignment="1">
      <alignment horizontal="left"/>
    </xf>
    <xf numFmtId="0" fontId="51" fillId="2" borderId="1" xfId="0" applyFont="1" applyFill="1" applyBorder="1"/>
    <xf numFmtId="0" fontId="49" fillId="4" borderId="0" xfId="0" applyFont="1" applyFill="1"/>
    <xf numFmtId="0" fontId="0" fillId="0" borderId="0" xfId="0" applyBorder="1"/>
    <xf numFmtId="2" fontId="22" fillId="0" borderId="0" xfId="2" applyNumberFormat="1" applyFont="1" applyFill="1" applyBorder="1" applyAlignment="1">
      <alignment vertical="center"/>
    </xf>
    <xf numFmtId="0" fontId="38" fillId="0" borderId="0" xfId="0" applyFont="1"/>
    <xf numFmtId="0" fontId="2" fillId="4" borderId="1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left" vertical="center"/>
    </xf>
    <xf numFmtId="2" fontId="17" fillId="0" borderId="1" xfId="2" applyNumberFormat="1" applyBorder="1" applyAlignment="1">
      <alignment horizontal="center" vertical="center"/>
    </xf>
    <xf numFmtId="166" fontId="17" fillId="0" borderId="1" xfId="2" applyNumberFormat="1" applyBorder="1" applyAlignment="1">
      <alignment vertical="center"/>
    </xf>
    <xf numFmtId="0" fontId="17" fillId="0" borderId="1" xfId="2" applyBorder="1" applyAlignment="1">
      <alignment horizontal="center" vertical="center"/>
    </xf>
    <xf numFmtId="0" fontId="38" fillId="0" borderId="1" xfId="0" applyFont="1" applyBorder="1" applyAlignment="1">
      <alignment horizontal="center"/>
    </xf>
    <xf numFmtId="4" fontId="49" fillId="0" borderId="1" xfId="0" applyNumberFormat="1" applyFont="1" applyBorder="1"/>
    <xf numFmtId="166" fontId="49" fillId="0" borderId="0" xfId="0" applyNumberFormat="1" applyFont="1"/>
    <xf numFmtId="0" fontId="49" fillId="0" borderId="0" xfId="2" applyFont="1" applyBorder="1" applyAlignment="1">
      <alignment vertical="center"/>
    </xf>
    <xf numFmtId="0" fontId="0" fillId="7" borderId="1" xfId="0" applyFill="1" applyBorder="1"/>
    <xf numFmtId="0" fontId="39" fillId="7" borderId="1" xfId="0" applyFont="1" applyFill="1" applyBorder="1" applyAlignment="1">
      <alignment horizontal="left" wrapText="1"/>
    </xf>
    <xf numFmtId="0" fontId="38" fillId="7" borderId="1" xfId="0" applyFont="1" applyFill="1" applyBorder="1" applyAlignment="1">
      <alignment horizontal="left"/>
    </xf>
    <xf numFmtId="0" fontId="17" fillId="4" borderId="0" xfId="0" applyFont="1" applyFill="1"/>
    <xf numFmtId="0" fontId="17" fillId="4" borderId="0" xfId="2" applyFill="1" applyAlignment="1">
      <alignment vertical="center"/>
    </xf>
    <xf numFmtId="166" fontId="17" fillId="7" borderId="0" xfId="2" applyNumberFormat="1" applyFill="1" applyBorder="1" applyAlignment="1">
      <alignment vertical="center"/>
    </xf>
    <xf numFmtId="0" fontId="38" fillId="7" borderId="1" xfId="0" applyFont="1" applyFill="1" applyBorder="1"/>
    <xf numFmtId="0" fontId="39" fillId="7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8" fontId="17" fillId="0" borderId="2" xfId="2" applyNumberFormat="1" applyBorder="1" applyAlignment="1">
      <alignment vertical="center"/>
    </xf>
    <xf numFmtId="2" fontId="22" fillId="0" borderId="2" xfId="2" applyNumberFormat="1" applyFont="1" applyFill="1" applyBorder="1" applyAlignment="1">
      <alignment vertical="center"/>
    </xf>
    <xf numFmtId="0" fontId="17" fillId="3" borderId="1" xfId="2" applyFill="1" applyBorder="1" applyAlignment="1">
      <alignment vertical="center"/>
    </xf>
    <xf numFmtId="4" fontId="17" fillId="3" borderId="1" xfId="2" applyNumberFormat="1" applyFill="1" applyBorder="1" applyAlignment="1">
      <alignment vertical="center"/>
    </xf>
    <xf numFmtId="0" fontId="52" fillId="5" borderId="1" xfId="0" applyFont="1" applyFill="1" applyBorder="1"/>
    <xf numFmtId="165" fontId="0" fillId="0" borderId="1" xfId="0" applyNumberFormat="1" applyBorder="1"/>
    <xf numFmtId="0" fontId="17" fillId="8" borderId="1" xfId="2" applyFill="1" applyBorder="1" applyAlignment="1">
      <alignment vertical="center"/>
    </xf>
    <xf numFmtId="0" fontId="17" fillId="8" borderId="0" xfId="2" applyFill="1" applyBorder="1" applyAlignment="1">
      <alignment vertical="center"/>
    </xf>
    <xf numFmtId="4" fontId="17" fillId="8" borderId="1" xfId="2" applyNumberFormat="1" applyFill="1" applyBorder="1" applyAlignment="1">
      <alignment vertical="center"/>
    </xf>
    <xf numFmtId="0" fontId="17" fillId="4" borderId="1" xfId="0" applyFont="1" applyFill="1" applyBorder="1"/>
    <xf numFmtId="0" fontId="32" fillId="8" borderId="1" xfId="2" applyFont="1" applyFill="1" applyBorder="1" applyAlignment="1">
      <alignment horizontal="center" vertical="center" wrapText="1"/>
    </xf>
    <xf numFmtId="166" fontId="17" fillId="8" borderId="1" xfId="2" applyNumberFormat="1" applyFill="1" applyBorder="1" applyAlignment="1">
      <alignment vertical="center"/>
    </xf>
    <xf numFmtId="166" fontId="17" fillId="7" borderId="1" xfId="2" applyNumberFormat="1" applyFill="1" applyBorder="1" applyAlignment="1">
      <alignment vertical="center"/>
    </xf>
    <xf numFmtId="167" fontId="17" fillId="0" borderId="1" xfId="2" applyNumberFormat="1" applyBorder="1" applyAlignment="1">
      <alignment vertical="center"/>
    </xf>
    <xf numFmtId="167" fontId="22" fillId="0" borderId="1" xfId="2" applyNumberFormat="1" applyFont="1" applyFill="1" applyBorder="1" applyAlignment="1">
      <alignment vertical="center"/>
    </xf>
    <xf numFmtId="0" fontId="38" fillId="8" borderId="1" xfId="0" applyFont="1" applyFill="1" applyBorder="1" applyAlignment="1">
      <alignment horizontal="center"/>
    </xf>
    <xf numFmtId="0" fontId="0" fillId="8" borderId="1" xfId="0" applyFill="1" applyBorder="1"/>
    <xf numFmtId="0" fontId="17" fillId="3" borderId="1" xfId="2" applyFill="1" applyBorder="1" applyAlignment="1">
      <alignment horizontal="center" vertical="center"/>
    </xf>
    <xf numFmtId="0" fontId="17" fillId="3" borderId="1" xfId="0" applyFont="1" applyFill="1" applyBorder="1"/>
    <xf numFmtId="167" fontId="0" fillId="0" borderId="0" xfId="0" applyNumberFormat="1"/>
    <xf numFmtId="0" fontId="0" fillId="9" borderId="1" xfId="0" applyFill="1" applyBorder="1"/>
    <xf numFmtId="167" fontId="0" fillId="0" borderId="1" xfId="0" applyNumberFormat="1" applyBorder="1"/>
    <xf numFmtId="166" fontId="52" fillId="7" borderId="1" xfId="2" applyNumberFormat="1" applyFont="1" applyFill="1" applyBorder="1" applyAlignment="1">
      <alignment vertical="center"/>
    </xf>
    <xf numFmtId="0" fontId="49" fillId="8" borderId="0" xfId="0" applyFont="1" applyFill="1"/>
    <xf numFmtId="0" fontId="6" fillId="0" borderId="5" xfId="2" applyFont="1" applyFill="1" applyBorder="1" applyAlignment="1">
      <alignment vertical="center" wrapText="1"/>
    </xf>
    <xf numFmtId="0" fontId="38" fillId="4" borderId="1" xfId="0" applyFont="1" applyFill="1" applyBorder="1"/>
    <xf numFmtId="0" fontId="54" fillId="4" borderId="1" xfId="0" applyFont="1" applyFill="1" applyBorder="1" applyAlignment="1">
      <alignment wrapText="1"/>
    </xf>
    <xf numFmtId="0" fontId="39" fillId="4" borderId="1" xfId="0" applyFont="1" applyFill="1" applyBorder="1" applyAlignment="1">
      <alignment wrapText="1"/>
    </xf>
    <xf numFmtId="4" fontId="0" fillId="4" borderId="1" xfId="0" applyNumberFormat="1" applyFill="1" applyBorder="1"/>
    <xf numFmtId="0" fontId="6" fillId="4" borderId="1" xfId="0" applyFont="1" applyFill="1" applyBorder="1" applyAlignment="1">
      <alignment horizontal="left" vertical="center" wrapText="1"/>
    </xf>
    <xf numFmtId="0" fontId="39" fillId="4" borderId="1" xfId="0" applyFont="1" applyFill="1" applyBorder="1" applyAlignment="1">
      <alignment horizontal="left" wrapText="1"/>
    </xf>
    <xf numFmtId="0" fontId="38" fillId="4" borderId="1" xfId="0" applyFont="1" applyFill="1" applyBorder="1" applyAlignment="1">
      <alignment horizontal="left"/>
    </xf>
    <xf numFmtId="169" fontId="0" fillId="0" borderId="0" xfId="0" applyNumberFormat="1"/>
    <xf numFmtId="0" fontId="55" fillId="7" borderId="1" xfId="0" applyFont="1" applyFill="1" applyBorder="1" applyAlignment="1">
      <alignment wrapText="1"/>
    </xf>
    <xf numFmtId="0" fontId="0" fillId="11" borderId="0" xfId="0" applyFill="1"/>
    <xf numFmtId="4" fontId="57" fillId="11" borderId="0" xfId="0" applyNumberFormat="1" applyFont="1" applyFill="1"/>
    <xf numFmtId="0" fontId="38" fillId="0" borderId="0" xfId="0" applyFont="1" applyBorder="1"/>
    <xf numFmtId="4" fontId="0" fillId="10" borderId="1" xfId="0" applyNumberFormat="1" applyFill="1" applyBorder="1"/>
    <xf numFmtId="0" fontId="0" fillId="10" borderId="1" xfId="0" applyFill="1" applyBorder="1"/>
    <xf numFmtId="0" fontId="56" fillId="10" borderId="1" xfId="0" applyFont="1" applyFill="1" applyBorder="1"/>
    <xf numFmtId="4" fontId="49" fillId="2" borderId="0" xfId="0" applyNumberFormat="1" applyFont="1" applyFill="1" applyBorder="1"/>
    <xf numFmtId="0" fontId="6" fillId="12" borderId="0" xfId="2" applyFont="1" applyFill="1" applyBorder="1" applyAlignment="1">
      <alignment vertical="center"/>
    </xf>
    <xf numFmtId="0" fontId="17" fillId="12" borderId="0" xfId="2" applyFill="1" applyBorder="1" applyAlignment="1">
      <alignment horizontal="center" vertical="center"/>
    </xf>
    <xf numFmtId="0" fontId="17" fillId="12" borderId="0" xfId="2" applyFill="1" applyBorder="1" applyAlignment="1">
      <alignment vertical="center"/>
    </xf>
    <xf numFmtId="0" fontId="6" fillId="12" borderId="1" xfId="0" applyFont="1" applyFill="1" applyBorder="1" applyAlignment="1">
      <alignment horizontal="left" vertical="center" wrapText="1"/>
    </xf>
    <xf numFmtId="0" fontId="37" fillId="12" borderId="1" xfId="2" applyFont="1" applyFill="1" applyBorder="1" applyAlignment="1">
      <alignment horizontal="center" vertical="center" wrapText="1"/>
    </xf>
    <xf numFmtId="168" fontId="17" fillId="12" borderId="1" xfId="2" applyNumberFormat="1" applyFill="1" applyBorder="1" applyAlignment="1">
      <alignment vertical="center"/>
    </xf>
    <xf numFmtId="168" fontId="17" fillId="12" borderId="2" xfId="2" applyNumberFormat="1" applyFill="1" applyBorder="1" applyAlignment="1">
      <alignment vertical="center"/>
    </xf>
    <xf numFmtId="0" fontId="6" fillId="12" borderId="1" xfId="2" applyFont="1" applyFill="1" applyBorder="1" applyAlignment="1">
      <alignment vertical="center"/>
    </xf>
    <xf numFmtId="2" fontId="22" fillId="12" borderId="1" xfId="2" applyNumberFormat="1" applyFont="1" applyFill="1" applyBorder="1" applyAlignment="1">
      <alignment vertical="center"/>
    </xf>
    <xf numFmtId="2" fontId="22" fillId="12" borderId="2" xfId="2" applyNumberFormat="1" applyFont="1" applyFill="1" applyBorder="1" applyAlignment="1">
      <alignment vertical="center"/>
    </xf>
    <xf numFmtId="0" fontId="49" fillId="8" borderId="0" xfId="2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13" borderId="0" xfId="0" applyFill="1"/>
    <xf numFmtId="0" fontId="2" fillId="13" borderId="1" xfId="2" applyFont="1" applyFill="1" applyBorder="1" applyAlignment="1">
      <alignment horizontal="center" vertical="center" wrapText="1"/>
    </xf>
    <xf numFmtId="4" fontId="0" fillId="13" borderId="1" xfId="0" applyNumberFormat="1" applyFill="1" applyBorder="1"/>
    <xf numFmtId="0" fontId="38" fillId="13" borderId="1" xfId="0" applyFont="1" applyFill="1" applyBorder="1"/>
    <xf numFmtId="0" fontId="50" fillId="13" borderId="1" xfId="0" applyFont="1" applyFill="1" applyBorder="1"/>
    <xf numFmtId="0" fontId="0" fillId="13" borderId="1" xfId="0" applyFill="1" applyBorder="1"/>
    <xf numFmtId="0" fontId="49" fillId="13" borderId="1" xfId="0" applyFont="1" applyFill="1" applyBorder="1"/>
    <xf numFmtId="0" fontId="17" fillId="13" borderId="0" xfId="2" applyFill="1" applyBorder="1" applyAlignment="1">
      <alignment vertical="center"/>
    </xf>
    <xf numFmtId="168" fontId="17" fillId="13" borderId="2" xfId="2" applyNumberFormat="1" applyFill="1" applyBorder="1" applyAlignment="1">
      <alignment vertical="center"/>
    </xf>
    <xf numFmtId="2" fontId="22" fillId="13" borderId="2" xfId="2" applyNumberFormat="1" applyFont="1" applyFill="1" applyBorder="1" applyAlignment="1">
      <alignment vertical="center"/>
    </xf>
    <xf numFmtId="2" fontId="22" fillId="13" borderId="0" xfId="2" applyNumberFormat="1" applyFont="1" applyFill="1" applyBorder="1" applyAlignment="1">
      <alignment vertical="center"/>
    </xf>
    <xf numFmtId="0" fontId="17" fillId="13" borderId="1" xfId="2" applyFill="1" applyBorder="1" applyAlignment="1">
      <alignment horizontal="center" vertical="center"/>
    </xf>
    <xf numFmtId="0" fontId="32" fillId="13" borderId="1" xfId="2" applyFont="1" applyFill="1" applyBorder="1" applyAlignment="1">
      <alignment horizontal="center" vertical="center" wrapText="1"/>
    </xf>
    <xf numFmtId="166" fontId="17" fillId="13" borderId="1" xfId="2" applyNumberFormat="1" applyFill="1" applyBorder="1" applyAlignment="1">
      <alignment vertical="center"/>
    </xf>
    <xf numFmtId="0" fontId="38" fillId="13" borderId="1" xfId="0" applyFont="1" applyFill="1" applyBorder="1" applyAlignment="1">
      <alignment horizontal="center"/>
    </xf>
    <xf numFmtId="166" fontId="49" fillId="13" borderId="0" xfId="0" applyNumberFormat="1" applyFont="1" applyFill="1"/>
    <xf numFmtId="0" fontId="58" fillId="13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6" fillId="8" borderId="5" xfId="2" applyFont="1" applyFill="1" applyBorder="1" applyAlignment="1">
      <alignment horizontal="center" vertical="center" wrapText="1"/>
    </xf>
    <xf numFmtId="0" fontId="2" fillId="8" borderId="1" xfId="2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6" fillId="8" borderId="1" xfId="2" applyFont="1" applyFill="1" applyBorder="1" applyAlignment="1">
      <alignment horizontal="center" vertical="center" wrapText="1"/>
    </xf>
    <xf numFmtId="0" fontId="2" fillId="8" borderId="0" xfId="0" applyFont="1" applyFill="1"/>
    <xf numFmtId="4" fontId="2" fillId="8" borderId="1" xfId="0" applyNumberFormat="1" applyFont="1" applyFill="1" applyBorder="1" applyAlignment="1">
      <alignment horizontal="center" vertical="center"/>
    </xf>
    <xf numFmtId="4" fontId="3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/>
    <xf numFmtId="0" fontId="2" fillId="8" borderId="1" xfId="0" applyFont="1" applyFill="1" applyBorder="1" applyAlignment="1">
      <alignment horizontal="left"/>
    </xf>
    <xf numFmtId="0" fontId="6" fillId="8" borderId="1" xfId="0" applyFont="1" applyFill="1" applyBorder="1" applyAlignment="1">
      <alignment wrapText="1"/>
    </xf>
    <xf numFmtId="4" fontId="6" fillId="8" borderId="1" xfId="0" applyNumberFormat="1" applyFont="1" applyFill="1" applyBorder="1" applyAlignment="1">
      <alignment horizontal="center" vertical="center"/>
    </xf>
    <xf numFmtId="4" fontId="7" fillId="8" borderId="1" xfId="0" applyNumberFormat="1" applyFont="1" applyFill="1" applyBorder="1" applyAlignment="1">
      <alignment horizontal="center" vertical="center"/>
    </xf>
    <xf numFmtId="3" fontId="6" fillId="8" borderId="1" xfId="0" applyNumberFormat="1" applyFont="1" applyFill="1" applyBorder="1" applyAlignment="1">
      <alignment horizontal="center" vertical="center"/>
    </xf>
    <xf numFmtId="3" fontId="7" fillId="8" borderId="1" xfId="0" applyNumberFormat="1" applyFont="1" applyFill="1" applyBorder="1" applyAlignment="1">
      <alignment horizontal="center" vertical="center"/>
    </xf>
    <xf numFmtId="0" fontId="14" fillId="8" borderId="0" xfId="0" applyFont="1" applyFill="1" applyAlignment="1">
      <alignment vertical="center" wrapText="1"/>
    </xf>
    <xf numFmtId="0" fontId="2" fillId="8" borderId="5" xfId="2" applyFont="1" applyFill="1" applyBorder="1" applyAlignment="1">
      <alignment horizontal="center" vertical="center" wrapText="1"/>
    </xf>
    <xf numFmtId="3" fontId="2" fillId="8" borderId="1" xfId="0" applyNumberFormat="1" applyFont="1" applyFill="1" applyBorder="1" applyAlignment="1">
      <alignment horizontal="center" vertical="center"/>
    </xf>
    <xf numFmtId="3" fontId="3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14" borderId="1" xfId="2" applyFont="1" applyFill="1" applyBorder="1" applyAlignment="1">
      <alignment horizontal="center" vertical="center" wrapText="1"/>
    </xf>
    <xf numFmtId="0" fontId="0" fillId="14" borderId="0" xfId="0" applyFill="1"/>
    <xf numFmtId="0" fontId="0" fillId="14" borderId="0" xfId="0" applyFill="1" applyBorder="1"/>
    <xf numFmtId="0" fontId="38" fillId="0" borderId="1" xfId="0" applyFont="1" applyBorder="1" applyAlignment="1">
      <alignment horizontal="center"/>
    </xf>
    <xf numFmtId="0" fontId="2" fillId="8" borderId="5" xfId="2" applyFont="1" applyFill="1" applyBorder="1" applyAlignment="1">
      <alignment horizontal="right" vertical="center" wrapText="1"/>
    </xf>
    <xf numFmtId="170" fontId="2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2" fillId="8" borderId="1" xfId="0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/>
    </xf>
    <xf numFmtId="0" fontId="2" fillId="8" borderId="4" xfId="2" applyFont="1" applyFill="1" applyBorder="1" applyAlignment="1">
      <alignment horizontal="center" vertical="center" wrapText="1"/>
    </xf>
    <xf numFmtId="0" fontId="2" fillId="8" borderId="1" xfId="2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8" borderId="0" xfId="0" applyFont="1" applyFill="1" applyBorder="1" applyAlignment="1">
      <alignment horizontal="left" vertical="center" wrapText="1"/>
    </xf>
    <xf numFmtId="3" fontId="60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4" fontId="2" fillId="8" borderId="1" xfId="0" applyNumberFormat="1" applyFont="1" applyFill="1" applyBorder="1" applyAlignment="1">
      <alignment vertical="center"/>
    </xf>
    <xf numFmtId="4" fontId="6" fillId="8" borderId="1" xfId="0" applyNumberFormat="1" applyFont="1" applyFill="1" applyBorder="1" applyAlignment="1">
      <alignment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50" fillId="0" borderId="0" xfId="0" applyFont="1" applyFill="1" applyBorder="1"/>
    <xf numFmtId="0" fontId="49" fillId="0" borderId="0" xfId="0" applyFont="1" applyBorder="1"/>
    <xf numFmtId="168" fontId="17" fillId="12" borderId="0" xfId="2" applyNumberFormat="1" applyFill="1" applyBorder="1" applyAlignment="1">
      <alignment vertical="center"/>
    </xf>
    <xf numFmtId="2" fontId="22" fillId="12" borderId="0" xfId="2" applyNumberFormat="1" applyFont="1" applyFill="1" applyBorder="1" applyAlignment="1">
      <alignment vertical="center"/>
    </xf>
    <xf numFmtId="0" fontId="62" fillId="0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3" fontId="63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8" borderId="15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14" fillId="0" borderId="0" xfId="0" applyFont="1"/>
    <xf numFmtId="0" fontId="14" fillId="13" borderId="0" xfId="0" applyFont="1" applyFill="1"/>
    <xf numFmtId="0" fontId="14" fillId="8" borderId="0" xfId="0" applyFont="1" applyFill="1"/>
    <xf numFmtId="0" fontId="65" fillId="8" borderId="0" xfId="0" applyFont="1" applyFill="1" applyAlignment="1">
      <alignment horizontal="center" vertical="center"/>
    </xf>
    <xf numFmtId="0" fontId="14" fillId="0" borderId="1" xfId="0" applyFont="1" applyBorder="1"/>
    <xf numFmtId="0" fontId="14" fillId="4" borderId="1" xfId="0" applyFont="1" applyFill="1" applyBorder="1"/>
    <xf numFmtId="0" fontId="5" fillId="0" borderId="0" xfId="2" applyFont="1" applyFill="1" applyBorder="1" applyAlignment="1">
      <alignment horizontal="center" vertical="center" wrapText="1"/>
    </xf>
    <xf numFmtId="0" fontId="14" fillId="4" borderId="0" xfId="0" applyFont="1" applyFill="1" applyBorder="1"/>
    <xf numFmtId="0" fontId="14" fillId="8" borderId="1" xfId="2" applyFont="1" applyFill="1" applyBorder="1" applyAlignment="1">
      <alignment vertical="center" wrapText="1"/>
    </xf>
    <xf numFmtId="0" fontId="14" fillId="14" borderId="0" xfId="0" applyFont="1" applyFill="1"/>
    <xf numFmtId="0" fontId="14" fillId="8" borderId="1" xfId="0" applyFont="1" applyFill="1" applyBorder="1" applyAlignment="1">
      <alignment horizontal="center" vertical="center" wrapText="1"/>
    </xf>
    <xf numFmtId="4" fontId="14" fillId="8" borderId="1" xfId="0" applyNumberFormat="1" applyFont="1" applyFill="1" applyBorder="1" applyAlignment="1">
      <alignment horizontal="center" vertical="center"/>
    </xf>
    <xf numFmtId="4" fontId="15" fillId="8" borderId="1" xfId="0" applyNumberFormat="1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5" fillId="0" borderId="0" xfId="0" applyFont="1"/>
    <xf numFmtId="0" fontId="14" fillId="10" borderId="1" xfId="0" applyFont="1" applyFill="1" applyBorder="1"/>
    <xf numFmtId="4" fontId="14" fillId="10" borderId="1" xfId="0" applyNumberFormat="1" applyFont="1" applyFill="1" applyBorder="1"/>
    <xf numFmtId="0" fontId="14" fillId="0" borderId="0" xfId="0" applyFont="1" applyBorder="1"/>
    <xf numFmtId="0" fontId="5" fillId="0" borderId="0" xfId="0" applyFont="1" applyBorder="1"/>
    <xf numFmtId="0" fontId="14" fillId="8" borderId="1" xfId="0" applyFont="1" applyFill="1" applyBorder="1" applyAlignment="1">
      <alignment horizontal="left" vertical="center" wrapText="1"/>
    </xf>
    <xf numFmtId="3" fontId="14" fillId="8" borderId="1" xfId="0" applyNumberFormat="1" applyFont="1" applyFill="1" applyBorder="1" applyAlignment="1">
      <alignment horizontal="center" vertical="center"/>
    </xf>
    <xf numFmtId="3" fontId="15" fillId="8" borderId="1" xfId="0" applyNumberFormat="1" applyFont="1" applyFill="1" applyBorder="1" applyAlignment="1">
      <alignment horizontal="center" vertical="center"/>
    </xf>
    <xf numFmtId="4" fontId="65" fillId="2" borderId="0" xfId="0" applyNumberFormat="1" applyFont="1" applyFill="1" applyBorder="1"/>
    <xf numFmtId="0" fontId="67" fillId="0" borderId="1" xfId="0" applyFont="1" applyFill="1" applyBorder="1"/>
    <xf numFmtId="0" fontId="68" fillId="0" borderId="1" xfId="0" applyFont="1" applyFill="1" applyBorder="1" applyAlignment="1">
      <alignment horizontal="left"/>
    </xf>
    <xf numFmtId="0" fontId="67" fillId="13" borderId="1" xfId="0" applyFont="1" applyFill="1" applyBorder="1"/>
    <xf numFmtId="4" fontId="14" fillId="13" borderId="1" xfId="0" applyNumberFormat="1" applyFont="1" applyFill="1" applyBorder="1"/>
    <xf numFmtId="4" fontId="14" fillId="0" borderId="1" xfId="0" applyNumberFormat="1" applyFont="1" applyBorder="1"/>
    <xf numFmtId="0" fontId="5" fillId="0" borderId="1" xfId="0" applyFont="1" applyFill="1" applyBorder="1" applyAlignment="1">
      <alignment horizontal="left" vertical="center" wrapText="1"/>
    </xf>
    <xf numFmtId="0" fontId="65" fillId="0" borderId="1" xfId="0" applyFont="1" applyBorder="1"/>
    <xf numFmtId="0" fontId="65" fillId="13" borderId="1" xfId="0" applyFont="1" applyFill="1" applyBorder="1"/>
    <xf numFmtId="0" fontId="14" fillId="13" borderId="1" xfId="0" applyFont="1" applyFill="1" applyBorder="1"/>
    <xf numFmtId="0" fontId="14" fillId="9" borderId="1" xfId="0" applyFont="1" applyFill="1" applyBorder="1"/>
    <xf numFmtId="0" fontId="14" fillId="11" borderId="0" xfId="0" applyFont="1" applyFill="1"/>
    <xf numFmtId="0" fontId="5" fillId="12" borderId="0" xfId="2" applyFont="1" applyFill="1" applyBorder="1" applyAlignment="1">
      <alignment vertical="center"/>
    </xf>
    <xf numFmtId="0" fontId="14" fillId="12" borderId="0" xfId="2" applyFont="1" applyFill="1" applyBorder="1" applyAlignment="1">
      <alignment vertical="center"/>
    </xf>
    <xf numFmtId="0" fontId="14" fillId="13" borderId="0" xfId="2" applyFont="1" applyFill="1" applyBorder="1" applyAlignment="1">
      <alignment vertical="center"/>
    </xf>
    <xf numFmtId="0" fontId="5" fillId="12" borderId="1" xfId="0" applyFont="1" applyFill="1" applyBorder="1" applyAlignment="1">
      <alignment horizontal="left" vertical="center" wrapText="1"/>
    </xf>
    <xf numFmtId="168" fontId="14" fillId="12" borderId="1" xfId="2" applyNumberFormat="1" applyFont="1" applyFill="1" applyBorder="1" applyAlignment="1">
      <alignment vertical="center"/>
    </xf>
    <xf numFmtId="168" fontId="14" fillId="13" borderId="2" xfId="2" applyNumberFormat="1" applyFont="1" applyFill="1" applyBorder="1" applyAlignment="1">
      <alignment vertical="center"/>
    </xf>
    <xf numFmtId="168" fontId="14" fillId="12" borderId="2" xfId="2" applyNumberFormat="1" applyFont="1" applyFill="1" applyBorder="1" applyAlignment="1">
      <alignment vertical="center"/>
    </xf>
    <xf numFmtId="0" fontId="14" fillId="8" borderId="0" xfId="2" applyFont="1" applyFill="1" applyBorder="1" applyAlignment="1">
      <alignment vertical="center"/>
    </xf>
    <xf numFmtId="0" fontId="65" fillId="8" borderId="0" xfId="2" applyFont="1" applyFill="1" applyBorder="1" applyAlignment="1">
      <alignment vertical="center"/>
    </xf>
    <xf numFmtId="0" fontId="5" fillId="12" borderId="1" xfId="2" applyFont="1" applyFill="1" applyBorder="1" applyAlignment="1">
      <alignment vertical="center"/>
    </xf>
    <xf numFmtId="2" fontId="5" fillId="12" borderId="1" xfId="2" applyNumberFormat="1" applyFont="1" applyFill="1" applyBorder="1" applyAlignment="1">
      <alignment vertical="center"/>
    </xf>
    <xf numFmtId="2" fontId="5" fillId="13" borderId="2" xfId="2" applyNumberFormat="1" applyFont="1" applyFill="1" applyBorder="1" applyAlignment="1">
      <alignment vertical="center"/>
    </xf>
    <xf numFmtId="2" fontId="5" fillId="12" borderId="2" xfId="2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vertical="center"/>
    </xf>
    <xf numFmtId="2" fontId="5" fillId="0" borderId="0" xfId="2" applyNumberFormat="1" applyFont="1" applyFill="1" applyBorder="1" applyAlignment="1">
      <alignment vertical="center"/>
    </xf>
    <xf numFmtId="2" fontId="5" fillId="13" borderId="0" xfId="2" applyNumberFormat="1" applyFont="1" applyFill="1" applyBorder="1" applyAlignment="1">
      <alignment vertical="center"/>
    </xf>
    <xf numFmtId="0" fontId="14" fillId="4" borderId="1" xfId="2" applyFont="1" applyFill="1" applyBorder="1" applyAlignment="1">
      <alignment vertical="center"/>
    </xf>
    <xf numFmtId="0" fontId="14" fillId="13" borderId="1" xfId="2" applyFont="1" applyFill="1" applyBorder="1" applyAlignment="1">
      <alignment horizontal="center" vertical="center"/>
    </xf>
    <xf numFmtId="0" fontId="14" fillId="8" borderId="1" xfId="2" applyFont="1" applyFill="1" applyBorder="1" applyAlignment="1">
      <alignment vertical="center"/>
    </xf>
    <xf numFmtId="0" fontId="14" fillId="3" borderId="1" xfId="2" applyFont="1" applyFill="1" applyBorder="1" applyAlignment="1">
      <alignment horizontal="center" vertical="center"/>
    </xf>
    <xf numFmtId="0" fontId="14" fillId="3" borderId="1" xfId="0" applyFont="1" applyFill="1" applyBorder="1"/>
    <xf numFmtId="0" fontId="14" fillId="0" borderId="1" xfId="2" applyFont="1" applyFill="1" applyBorder="1" applyAlignment="1">
      <alignment vertical="center"/>
    </xf>
    <xf numFmtId="0" fontId="5" fillId="13" borderId="1" xfId="2" applyFont="1" applyFill="1" applyBorder="1" applyAlignment="1">
      <alignment horizontal="center" vertical="center" wrapText="1"/>
    </xf>
    <xf numFmtId="0" fontId="5" fillId="8" borderId="1" xfId="2" applyFont="1" applyFill="1" applyBorder="1" applyAlignment="1">
      <alignment horizontal="center" vertical="center" wrapText="1"/>
    </xf>
    <xf numFmtId="0" fontId="14" fillId="0" borderId="1" xfId="2" applyFont="1" applyBorder="1" applyAlignment="1">
      <alignment vertical="center"/>
    </xf>
    <xf numFmtId="166" fontId="14" fillId="13" borderId="1" xfId="2" applyNumberFormat="1" applyFont="1" applyFill="1" applyBorder="1" applyAlignment="1">
      <alignment vertical="center"/>
    </xf>
    <xf numFmtId="166" fontId="14" fillId="8" borderId="1" xfId="2" applyNumberFormat="1" applyFont="1" applyFill="1" applyBorder="1" applyAlignment="1">
      <alignment vertical="center"/>
    </xf>
    <xf numFmtId="166" fontId="14" fillId="7" borderId="1" xfId="2" applyNumberFormat="1" applyFont="1" applyFill="1" applyBorder="1" applyAlignment="1">
      <alignment vertical="center"/>
    </xf>
    <xf numFmtId="167" fontId="14" fillId="0" borderId="1" xfId="2" applyNumberFormat="1" applyFont="1" applyBorder="1" applyAlignment="1">
      <alignment vertical="center"/>
    </xf>
    <xf numFmtId="167" fontId="5" fillId="0" borderId="1" xfId="2" applyNumberFormat="1" applyFont="1" applyFill="1" applyBorder="1" applyAlignment="1">
      <alignment vertical="center"/>
    </xf>
    <xf numFmtId="0" fontId="5" fillId="13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/>
    </xf>
    <xf numFmtId="0" fontId="14" fillId="8" borderId="1" xfId="0" applyFont="1" applyFill="1" applyBorder="1"/>
    <xf numFmtId="4" fontId="14" fillId="8" borderId="1" xfId="2" applyNumberFormat="1" applyFont="1" applyFill="1" applyBorder="1" applyAlignment="1">
      <alignment vertical="center"/>
    </xf>
    <xf numFmtId="166" fontId="69" fillId="7" borderId="1" xfId="2" applyNumberFormat="1" applyFont="1" applyFill="1" applyBorder="1" applyAlignment="1">
      <alignment vertical="center"/>
    </xf>
    <xf numFmtId="4" fontId="65" fillId="0" borderId="1" xfId="0" applyNumberFormat="1" applyFont="1" applyBorder="1"/>
    <xf numFmtId="0" fontId="14" fillId="7" borderId="1" xfId="0" applyFont="1" applyFill="1" applyBorder="1"/>
    <xf numFmtId="0" fontId="65" fillId="0" borderId="0" xfId="2" applyFont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4" fillId="8" borderId="0" xfId="0" applyFont="1" applyFill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5" fillId="8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vertical="center"/>
    </xf>
    <xf numFmtId="0" fontId="0" fillId="0" borderId="0" xfId="0" applyFill="1"/>
    <xf numFmtId="4" fontId="2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0" fontId="71" fillId="0" borderId="0" xfId="0" applyFont="1" applyFill="1" applyAlignment="1">
      <alignment vertical="center"/>
    </xf>
    <xf numFmtId="0" fontId="72" fillId="0" borderId="0" xfId="0" applyFont="1" applyFill="1" applyAlignment="1">
      <alignment vertical="center"/>
    </xf>
    <xf numFmtId="166" fontId="71" fillId="0" borderId="0" xfId="0" applyNumberFormat="1" applyFont="1" applyFill="1" applyAlignment="1">
      <alignment vertical="center"/>
    </xf>
    <xf numFmtId="0" fontId="71" fillId="2" borderId="1" xfId="0" applyFont="1" applyFill="1" applyBorder="1" applyAlignment="1">
      <alignment horizontal="left" vertical="center"/>
    </xf>
    <xf numFmtId="0" fontId="71" fillId="0" borderId="1" xfId="0" applyFont="1" applyFill="1" applyBorder="1" applyAlignment="1">
      <alignment horizontal="left" vertical="center"/>
    </xf>
    <xf numFmtId="0" fontId="72" fillId="0" borderId="1" xfId="0" applyFont="1" applyFill="1" applyBorder="1" applyAlignment="1">
      <alignment horizontal="left" vertical="center"/>
    </xf>
    <xf numFmtId="0" fontId="73" fillId="0" borderId="0" xfId="0" applyFont="1" applyFill="1" applyBorder="1" applyAlignment="1">
      <alignment horizontal="center" vertical="center" wrapText="1"/>
    </xf>
    <xf numFmtId="0" fontId="71" fillId="0" borderId="0" xfId="0" applyFont="1" applyFill="1" applyBorder="1" applyAlignment="1">
      <alignment horizontal="center" vertical="center" wrapText="1"/>
    </xf>
    <xf numFmtId="2" fontId="73" fillId="0" borderId="0" xfId="0" applyNumberFormat="1" applyFont="1" applyFill="1" applyBorder="1" applyAlignment="1">
      <alignment horizontal="center" vertical="center" wrapText="1"/>
    </xf>
    <xf numFmtId="4" fontId="71" fillId="0" borderId="0" xfId="0" applyNumberFormat="1" applyFont="1" applyFill="1" applyAlignment="1">
      <alignment vertical="center"/>
    </xf>
    <xf numFmtId="2" fontId="71" fillId="0" borderId="0" xfId="0" applyNumberFormat="1" applyFont="1" applyFill="1" applyAlignment="1">
      <alignment vertical="center"/>
    </xf>
    <xf numFmtId="0" fontId="71" fillId="0" borderId="0" xfId="0" applyFont="1" applyFill="1" applyAlignment="1">
      <alignment horizontal="right" vertical="center"/>
    </xf>
    <xf numFmtId="0" fontId="6" fillId="8" borderId="0" xfId="2" applyFont="1" applyFill="1" applyBorder="1" applyAlignment="1">
      <alignment horizontal="center" vertical="center" wrapText="1"/>
    </xf>
    <xf numFmtId="4" fontId="2" fillId="8" borderId="0" xfId="0" applyNumberFormat="1" applyFont="1" applyFill="1" applyBorder="1" applyAlignment="1">
      <alignment horizontal="center" vertical="center"/>
    </xf>
    <xf numFmtId="0" fontId="14" fillId="8" borderId="0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4" fillId="8" borderId="1" xfId="2" applyFont="1" applyFill="1" applyBorder="1" applyAlignment="1">
      <alignment horizontal="center" vertical="center" wrapText="1"/>
    </xf>
    <xf numFmtId="0" fontId="63" fillId="0" borderId="1" xfId="0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>
      <alignment vertical="center" wrapText="1"/>
    </xf>
    <xf numFmtId="4" fontId="9" fillId="15" borderId="1" xfId="0" applyNumberFormat="1" applyFont="1" applyFill="1" applyBorder="1" applyAlignment="1">
      <alignment horizontal="right" vertical="center" wrapText="1"/>
    </xf>
    <xf numFmtId="4" fontId="7" fillId="15" borderId="1" xfId="1" applyNumberFormat="1" applyFont="1" applyFill="1" applyBorder="1" applyAlignment="1">
      <alignment horizontal="right" vertical="center" wrapText="1"/>
    </xf>
    <xf numFmtId="4" fontId="6" fillId="15" borderId="1" xfId="1" applyNumberFormat="1" applyFont="1" applyFill="1" applyBorder="1" applyAlignment="1">
      <alignment horizontal="right" vertical="center" wrapText="1"/>
    </xf>
    <xf numFmtId="3" fontId="7" fillId="15" borderId="1" xfId="1" applyNumberFormat="1" applyFont="1" applyFill="1" applyBorder="1" applyAlignment="1">
      <alignment horizontal="right" vertical="center" wrapText="1"/>
    </xf>
    <xf numFmtId="4" fontId="6" fillId="15" borderId="1" xfId="0" applyNumberFormat="1" applyFont="1" applyFill="1" applyBorder="1" applyAlignment="1">
      <alignment horizontal="right" vertical="center" wrapText="1"/>
    </xf>
    <xf numFmtId="4" fontId="7" fillId="15" borderId="1" xfId="0" applyNumberFormat="1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left" vertical="center" wrapText="1"/>
    </xf>
    <xf numFmtId="4" fontId="3" fillId="0" borderId="7" xfId="1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3" fontId="7" fillId="0" borderId="7" xfId="1" applyNumberFormat="1" applyFont="1" applyFill="1" applyBorder="1" applyAlignment="1">
      <alignment horizontal="righ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6" fillId="15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3" fillId="0" borderId="15" xfId="1" applyNumberFormat="1" applyFont="1" applyFill="1" applyBorder="1" applyAlignment="1">
      <alignment horizontal="right" vertical="center" wrapText="1"/>
    </xf>
    <xf numFmtId="4" fontId="2" fillId="0" borderId="15" xfId="1" applyNumberFormat="1" applyFont="1" applyFill="1" applyBorder="1" applyAlignment="1">
      <alignment horizontal="right" vertical="center" wrapText="1"/>
    </xf>
    <xf numFmtId="3" fontId="3" fillId="0" borderId="15" xfId="1" applyNumberFormat="1" applyFont="1" applyFill="1" applyBorder="1" applyAlignment="1">
      <alignment horizontal="right" vertical="center" wrapText="1"/>
    </xf>
    <xf numFmtId="4" fontId="7" fillId="0" borderId="15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/>
    <xf numFmtId="0" fontId="14" fillId="0" borderId="0" xfId="0" applyFont="1" applyFill="1"/>
    <xf numFmtId="0" fontId="2" fillId="8" borderId="1" xfId="0" applyFont="1" applyFill="1" applyBorder="1" applyAlignment="1">
      <alignment horizontal="left" vertical="top" wrapText="1"/>
    </xf>
    <xf numFmtId="0" fontId="49" fillId="0" borderId="0" xfId="0" applyFont="1" applyFill="1" applyBorder="1"/>
    <xf numFmtId="0" fontId="0" fillId="0" borderId="0" xfId="0" applyFill="1" applyBorder="1"/>
    <xf numFmtId="168" fontId="17" fillId="0" borderId="0" xfId="2" applyNumberFormat="1" applyFill="1" applyBorder="1" applyAlignment="1">
      <alignment vertical="center"/>
    </xf>
    <xf numFmtId="0" fontId="17" fillId="0" borderId="1" xfId="0" applyFont="1" applyFill="1" applyBorder="1"/>
    <xf numFmtId="166" fontId="17" fillId="0" borderId="1" xfId="2" applyNumberFormat="1" applyFill="1" applyBorder="1" applyAlignment="1">
      <alignment vertical="center"/>
    </xf>
    <xf numFmtId="166" fontId="52" fillId="0" borderId="1" xfId="2" applyNumberFormat="1" applyFont="1" applyFill="1" applyBorder="1" applyAlignment="1">
      <alignment vertical="center"/>
    </xf>
    <xf numFmtId="0" fontId="0" fillId="0" borderId="1" xfId="0" applyFill="1" applyBorder="1"/>
    <xf numFmtId="0" fontId="49" fillId="0" borderId="0" xfId="2" applyFont="1" applyFill="1" applyBorder="1" applyAlignment="1">
      <alignment vertical="center"/>
    </xf>
    <xf numFmtId="0" fontId="14" fillId="0" borderId="7" xfId="2" applyFont="1" applyFill="1" applyBorder="1" applyAlignment="1">
      <alignment horizontal="center" vertical="center" wrapText="1"/>
    </xf>
    <xf numFmtId="0" fontId="14" fillId="8" borderId="10" xfId="2" applyFont="1" applyFill="1" applyBorder="1" applyAlignment="1">
      <alignment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/>
    </xf>
    <xf numFmtId="0" fontId="14" fillId="8" borderId="12" xfId="0" applyFont="1" applyFill="1" applyBorder="1" applyAlignment="1">
      <alignment horizontal="center" vertical="center" wrapText="1"/>
    </xf>
    <xf numFmtId="0" fontId="14" fillId="0" borderId="13" xfId="0" applyFont="1" applyBorder="1"/>
    <xf numFmtId="169" fontId="14" fillId="0" borderId="0" xfId="0" applyNumberFormat="1" applyFont="1" applyBorder="1"/>
    <xf numFmtId="2" fontId="14" fillId="0" borderId="13" xfId="0" applyNumberFormat="1" applyFont="1" applyBorder="1"/>
    <xf numFmtId="4" fontId="14" fillId="8" borderId="13" xfId="0" applyNumberFormat="1" applyFont="1" applyFill="1" applyBorder="1" applyAlignment="1">
      <alignment horizontal="center" vertical="center"/>
    </xf>
    <xf numFmtId="0" fontId="14" fillId="8" borderId="12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4" fontId="66" fillId="11" borderId="0" xfId="0" applyNumberFormat="1" applyFont="1" applyFill="1" applyBorder="1"/>
    <xf numFmtId="0" fontId="5" fillId="0" borderId="13" xfId="0" applyFont="1" applyBorder="1"/>
    <xf numFmtId="0" fontId="67" fillId="0" borderId="12" xfId="0" applyFont="1" applyFill="1" applyBorder="1"/>
    <xf numFmtId="0" fontId="14" fillId="0" borderId="12" xfId="0" applyFont="1" applyBorder="1"/>
    <xf numFmtId="0" fontId="65" fillId="2" borderId="0" xfId="0" applyFont="1" applyFill="1" applyBorder="1"/>
    <xf numFmtId="0" fontId="14" fillId="11" borderId="25" xfId="0" applyFont="1" applyFill="1" applyBorder="1"/>
    <xf numFmtId="0" fontId="14" fillId="11" borderId="0" xfId="0" applyFont="1" applyFill="1" applyBorder="1"/>
    <xf numFmtId="0" fontId="14" fillId="13" borderId="0" xfId="0" applyFont="1" applyFill="1" applyBorder="1"/>
    <xf numFmtId="0" fontId="14" fillId="11" borderId="13" xfId="0" applyFont="1" applyFill="1" applyBorder="1"/>
    <xf numFmtId="0" fontId="14" fillId="0" borderId="25" xfId="0" applyFont="1" applyBorder="1"/>
    <xf numFmtId="0" fontId="65" fillId="0" borderId="0" xfId="0" applyFont="1" applyBorder="1"/>
    <xf numFmtId="0" fontId="14" fillId="0" borderId="0" xfId="2" applyFont="1" applyBorder="1" applyAlignment="1">
      <alignment vertical="center"/>
    </xf>
    <xf numFmtId="166" fontId="65" fillId="0" borderId="0" xfId="0" applyNumberFormat="1" applyFont="1" applyBorder="1"/>
    <xf numFmtId="166" fontId="65" fillId="13" borderId="0" xfId="0" applyNumberFormat="1" applyFont="1" applyFill="1" applyBorder="1"/>
    <xf numFmtId="167" fontId="14" fillId="0" borderId="0" xfId="0" applyNumberFormat="1" applyFont="1" applyBorder="1"/>
    <xf numFmtId="0" fontId="14" fillId="0" borderId="12" xfId="0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8" borderId="15" xfId="0" applyFont="1" applyFill="1" applyBorder="1" applyAlignment="1">
      <alignment horizontal="left" vertical="center" wrapText="1"/>
    </xf>
    <xf numFmtId="0" fontId="14" fillId="13" borderId="26" xfId="0" applyFont="1" applyFill="1" applyBorder="1"/>
    <xf numFmtId="0" fontId="14" fillId="0" borderId="26" xfId="0" applyFont="1" applyBorder="1"/>
    <xf numFmtId="4" fontId="14" fillId="0" borderId="16" xfId="0" applyNumberFormat="1" applyFont="1" applyBorder="1" applyAlignment="1">
      <alignment horizontal="center" vertical="center"/>
    </xf>
    <xf numFmtId="0" fontId="14" fillId="8" borderId="1" xfId="0" applyFont="1" applyFill="1" applyBorder="1" applyAlignment="1">
      <alignment horizontal="left" vertical="top" wrapText="1"/>
    </xf>
    <xf numFmtId="0" fontId="14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15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4" fontId="14" fillId="8" borderId="1" xfId="0" applyNumberFormat="1" applyFont="1" applyFill="1" applyBorder="1" applyAlignment="1">
      <alignment horizontal="center" vertical="center" wrapText="1"/>
    </xf>
    <xf numFmtId="4" fontId="68" fillId="0" borderId="1" xfId="0" applyNumberFormat="1" applyFont="1" applyFill="1" applyBorder="1" applyAlignment="1">
      <alignment horizontal="left"/>
    </xf>
    <xf numFmtId="4" fontId="67" fillId="0" borderId="1" xfId="0" applyNumberFormat="1" applyFont="1" applyFill="1" applyBorder="1"/>
    <xf numFmtId="4" fontId="14" fillId="11" borderId="0" xfId="0" applyNumberFormat="1" applyFont="1" applyFill="1" applyBorder="1"/>
    <xf numFmtId="4" fontId="14" fillId="12" borderId="0" xfId="2" applyNumberFormat="1" applyFont="1" applyFill="1" applyBorder="1" applyAlignment="1">
      <alignment horizontal="center" vertical="center"/>
    </xf>
    <xf numFmtId="4" fontId="14" fillId="12" borderId="0" xfId="2" applyNumberFormat="1" applyFont="1" applyFill="1" applyBorder="1" applyAlignment="1">
      <alignment vertical="center"/>
    </xf>
    <xf numFmtId="4" fontId="14" fillId="12" borderId="1" xfId="2" applyNumberFormat="1" applyFont="1" applyFill="1" applyBorder="1" applyAlignment="1">
      <alignment horizontal="center" vertical="center" wrapText="1"/>
    </xf>
    <xf numFmtId="4" fontId="14" fillId="12" borderId="1" xfId="2" applyNumberFormat="1" applyFont="1" applyFill="1" applyBorder="1" applyAlignment="1">
      <alignment vertical="center"/>
    </xf>
    <xf numFmtId="4" fontId="5" fillId="12" borderId="1" xfId="2" applyNumberFormat="1" applyFont="1" applyFill="1" applyBorder="1" applyAlignment="1">
      <alignment vertical="center"/>
    </xf>
    <xf numFmtId="4" fontId="14" fillId="0" borderId="0" xfId="2" applyNumberFormat="1" applyFont="1" applyFill="1" applyBorder="1" applyAlignment="1">
      <alignment horizontal="center" vertical="center" wrapText="1"/>
    </xf>
    <xf numFmtId="4" fontId="5" fillId="0" borderId="0" xfId="2" applyNumberFormat="1" applyFont="1" applyFill="1" applyBorder="1" applyAlignment="1">
      <alignment vertical="center"/>
    </xf>
    <xf numFmtId="4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/>
    </xf>
    <xf numFmtId="4" fontId="14" fillId="0" borderId="1" xfId="2" applyNumberFormat="1" applyFont="1" applyBorder="1" applyAlignment="1">
      <alignment vertical="center"/>
    </xf>
    <xf numFmtId="4" fontId="65" fillId="0" borderId="0" xfId="0" applyNumberFormat="1" applyFont="1" applyBorder="1"/>
    <xf numFmtId="4" fontId="14" fillId="0" borderId="0" xfId="0" applyNumberFormat="1" applyFont="1" applyBorder="1"/>
    <xf numFmtId="4" fontId="14" fillId="0" borderId="1" xfId="0" applyNumberFormat="1" applyFont="1" applyBorder="1" applyAlignment="1">
      <alignment horizontal="center" vertical="center"/>
    </xf>
    <xf numFmtId="4" fontId="14" fillId="0" borderId="15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1" fillId="0" borderId="4" xfId="0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4" fontId="7" fillId="0" borderId="15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 applyAlignment="1">
      <alignment horizontal="center"/>
    </xf>
    <xf numFmtId="0" fontId="70" fillId="0" borderId="1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61" fillId="16" borderId="1" xfId="0" applyFont="1" applyFill="1" applyBorder="1" applyAlignment="1">
      <alignment horizontal="center" vertical="center" wrapText="1"/>
    </xf>
    <xf numFmtId="0" fontId="62" fillId="16" borderId="1" xfId="0" applyFont="1" applyFill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center" wrapText="1"/>
    </xf>
    <xf numFmtId="4" fontId="64" fillId="16" borderId="1" xfId="1" applyNumberFormat="1" applyFont="1" applyFill="1" applyBorder="1" applyAlignment="1">
      <alignment horizontal="right" vertical="center" wrapText="1"/>
    </xf>
    <xf numFmtId="3" fontId="7" fillId="16" borderId="1" xfId="1" applyNumberFormat="1" applyFont="1" applyFill="1" applyBorder="1" applyAlignment="1">
      <alignment horizontal="right" vertical="center" wrapText="1"/>
    </xf>
    <xf numFmtId="4" fontId="6" fillId="16" borderId="1" xfId="1" applyNumberFormat="1" applyFont="1" applyFill="1" applyBorder="1" applyAlignment="1">
      <alignment horizontal="right" vertical="center" wrapText="1"/>
    </xf>
    <xf numFmtId="4" fontId="63" fillId="16" borderId="1" xfId="1" applyNumberFormat="1" applyFont="1" applyFill="1" applyBorder="1" applyAlignment="1">
      <alignment horizontal="right" vertical="center" wrapText="1"/>
    </xf>
    <xf numFmtId="4" fontId="2" fillId="16" borderId="1" xfId="1" applyNumberFormat="1" applyFont="1" applyFill="1" applyBorder="1" applyAlignment="1">
      <alignment horizontal="right" vertical="center" wrapText="1"/>
    </xf>
    <xf numFmtId="0" fontId="75" fillId="16" borderId="1" xfId="0" applyFont="1" applyFill="1" applyBorder="1" applyAlignment="1">
      <alignment horizontal="center" vertical="center" wrapText="1"/>
    </xf>
    <xf numFmtId="0" fontId="76" fillId="16" borderId="1" xfId="0" applyFont="1" applyFill="1" applyBorder="1" applyAlignment="1">
      <alignment horizontal="center" vertical="center" wrapText="1"/>
    </xf>
    <xf numFmtId="4" fontId="76" fillId="16" borderId="1" xfId="1" applyNumberFormat="1" applyFont="1" applyFill="1" applyBorder="1" applyAlignment="1">
      <alignment horizontal="right" vertical="center" wrapText="1"/>
    </xf>
    <xf numFmtId="4" fontId="77" fillId="16" borderId="1" xfId="1" applyNumberFormat="1" applyFont="1" applyFill="1" applyBorder="1" applyAlignment="1">
      <alignment horizontal="right" vertical="center" wrapText="1"/>
    </xf>
    <xf numFmtId="4" fontId="76" fillId="15" borderId="1" xfId="1" applyNumberFormat="1" applyFont="1" applyFill="1" applyBorder="1" applyAlignment="1">
      <alignment horizontal="right" vertical="center" wrapText="1"/>
    </xf>
    <xf numFmtId="4" fontId="77" fillId="16" borderId="15" xfId="1" applyNumberFormat="1" applyFont="1" applyFill="1" applyBorder="1" applyAlignment="1">
      <alignment horizontal="right" vertical="center" wrapText="1"/>
    </xf>
    <xf numFmtId="0" fontId="3" fillId="17" borderId="1" xfId="0" applyFont="1" applyFill="1" applyBorder="1" applyAlignment="1">
      <alignment horizontal="center" vertical="center" wrapText="1"/>
    </xf>
    <xf numFmtId="0" fontId="6" fillId="17" borderId="1" xfId="0" applyFont="1" applyFill="1" applyBorder="1" applyAlignment="1">
      <alignment horizontal="center" vertical="center" wrapText="1"/>
    </xf>
    <xf numFmtId="4" fontId="7" fillId="17" borderId="1" xfId="0" applyNumberFormat="1" applyFont="1" applyFill="1" applyBorder="1" applyAlignment="1">
      <alignment horizontal="right" vertical="center" wrapText="1"/>
    </xf>
    <xf numFmtId="4" fontId="3" fillId="17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4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horizontal="left" vertical="center" wrapText="1"/>
    </xf>
    <xf numFmtId="0" fontId="71" fillId="0" borderId="1" xfId="0" applyFont="1" applyFill="1" applyBorder="1" applyAlignment="1">
      <alignment horizontal="left" vertical="center" wrapText="1"/>
    </xf>
    <xf numFmtId="2" fontId="73" fillId="0" borderId="1" xfId="0" applyNumberFormat="1" applyFont="1" applyFill="1" applyBorder="1" applyAlignment="1">
      <alignment horizontal="left" vertical="center" wrapText="1"/>
    </xf>
    <xf numFmtId="4" fontId="71" fillId="0" borderId="1" xfId="0" applyNumberFormat="1" applyFont="1" applyFill="1" applyBorder="1" applyAlignment="1">
      <alignment horizontal="left" vertical="center" wrapText="1"/>
    </xf>
    <xf numFmtId="0" fontId="73" fillId="0" borderId="1" xfId="0" applyFont="1" applyFill="1" applyBorder="1" applyAlignment="1">
      <alignment horizontal="center" vertical="center" wrapText="1"/>
    </xf>
    <xf numFmtId="0" fontId="71" fillId="0" borderId="1" xfId="0" applyFont="1" applyFill="1" applyBorder="1" applyAlignment="1">
      <alignment horizontal="center" vertical="center" wrapText="1"/>
    </xf>
    <xf numFmtId="2" fontId="73" fillId="0" borderId="1" xfId="0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4" fontId="7" fillId="15" borderId="4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0" fontId="27" fillId="8" borderId="1" xfId="2" applyFont="1" applyFill="1" applyBorder="1" applyAlignment="1">
      <alignment horizontal="center" vertical="center" wrapText="1"/>
    </xf>
    <xf numFmtId="0" fontId="27" fillId="0" borderId="1" xfId="2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4" fontId="79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21" fillId="8" borderId="1" xfId="0" applyNumberFormat="1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left" vertical="center" wrapText="1"/>
    </xf>
    <xf numFmtId="170" fontId="21" fillId="0" borderId="1" xfId="0" applyNumberFormat="1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left" vertical="top" wrapText="1"/>
    </xf>
    <xf numFmtId="165" fontId="21" fillId="0" borderId="1" xfId="0" applyNumberFormat="1" applyFont="1" applyFill="1" applyBorder="1" applyAlignment="1">
      <alignment horizontal="center" vertical="center"/>
    </xf>
    <xf numFmtId="4" fontId="35" fillId="0" borderId="1" xfId="0" applyNumberFormat="1" applyFont="1" applyFill="1" applyBorder="1" applyAlignment="1">
      <alignment horizontal="center" vertical="center"/>
    </xf>
    <xf numFmtId="4" fontId="80" fillId="0" borderId="1" xfId="0" applyNumberFormat="1" applyFont="1" applyFill="1" applyBorder="1" applyAlignment="1">
      <alignment horizontal="center" vertical="center"/>
    </xf>
    <xf numFmtId="0" fontId="21" fillId="8" borderId="1" xfId="0" applyFont="1" applyFill="1" applyBorder="1"/>
    <xf numFmtId="4" fontId="81" fillId="0" borderId="1" xfId="0" applyNumberFormat="1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/>
    </xf>
    <xf numFmtId="0" fontId="27" fillId="8" borderId="1" xfId="0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4" fontId="27" fillId="8" borderId="1" xfId="0" applyNumberFormat="1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vertical="center"/>
    </xf>
    <xf numFmtId="0" fontId="71" fillId="0" borderId="0" xfId="0" applyFont="1"/>
    <xf numFmtId="0" fontId="71" fillId="13" borderId="0" xfId="0" applyFont="1" applyFill="1"/>
    <xf numFmtId="0" fontId="82" fillId="0" borderId="0" xfId="0" applyFont="1"/>
    <xf numFmtId="0" fontId="82" fillId="0" borderId="0" xfId="0" applyFont="1" applyFill="1"/>
    <xf numFmtId="0" fontId="71" fillId="0" borderId="0" xfId="0" applyFont="1" applyAlignment="1">
      <alignment horizontal="right" vertical="center"/>
    </xf>
    <xf numFmtId="0" fontId="21" fillId="8" borderId="1" xfId="0" applyFont="1" applyFill="1" applyBorder="1" applyAlignment="1">
      <alignment vertical="center" wrapText="1"/>
    </xf>
    <xf numFmtId="0" fontId="84" fillId="0" borderId="0" xfId="0" applyFont="1" applyFill="1" applyAlignment="1">
      <alignment vertical="center" wrapText="1"/>
    </xf>
    <xf numFmtId="0" fontId="85" fillId="0" borderId="0" xfId="0" applyFont="1" applyFill="1" applyAlignment="1">
      <alignment horizontal="left" vertical="center" wrapText="1"/>
    </xf>
    <xf numFmtId="0" fontId="84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27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5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left" vertical="center" wrapText="1"/>
    </xf>
    <xf numFmtId="2" fontId="6" fillId="0" borderId="3" xfId="0" applyNumberFormat="1" applyFont="1" applyFill="1" applyBorder="1" applyAlignment="1">
      <alignment horizontal="left" vertical="center" wrapText="1"/>
    </xf>
    <xf numFmtId="2" fontId="6" fillId="0" borderId="4" xfId="0" applyNumberFormat="1" applyFont="1" applyFill="1" applyBorder="1" applyAlignment="1">
      <alignment horizontal="left" vertical="center" wrapText="1"/>
    </xf>
    <xf numFmtId="0" fontId="41" fillId="0" borderId="8" xfId="0" applyFont="1" applyFill="1" applyBorder="1" applyAlignment="1">
      <alignment horizontal="left" vertical="center" wrapText="1"/>
    </xf>
    <xf numFmtId="0" fontId="41" fillId="0" borderId="8" xfId="0" applyFont="1" applyBorder="1"/>
    <xf numFmtId="0" fontId="41" fillId="0" borderId="0" xfId="0" applyFont="1" applyBorder="1"/>
    <xf numFmtId="0" fontId="42" fillId="0" borderId="0" xfId="0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25" fillId="0" borderId="0" xfId="2" applyFont="1" applyFill="1" applyAlignment="1">
      <alignment horizontal="center" vertical="center" wrapText="1"/>
    </xf>
    <xf numFmtId="0" fontId="6" fillId="0" borderId="2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6" fillId="0" borderId="4" xfId="2" applyFont="1" applyBorder="1" applyAlignment="1">
      <alignment horizontal="left" vertical="center"/>
    </xf>
    <xf numFmtId="0" fontId="2" fillId="0" borderId="0" xfId="2" applyFont="1" applyAlignment="1">
      <alignment horizontal="left" vertical="center" wrapText="1"/>
    </xf>
    <xf numFmtId="0" fontId="16" fillId="0" borderId="0" xfId="2" applyFont="1" applyAlignment="1">
      <alignment horizontal="right" vertical="center" wrapText="1"/>
    </xf>
    <xf numFmtId="0" fontId="38" fillId="0" borderId="1" xfId="0" applyFont="1" applyBorder="1" applyAlignment="1">
      <alignment horizontal="center"/>
    </xf>
    <xf numFmtId="0" fontId="6" fillId="0" borderId="8" xfId="2" applyFont="1" applyFill="1" applyBorder="1" applyAlignment="1">
      <alignment horizontal="center" vertical="center" wrapText="1"/>
    </xf>
    <xf numFmtId="0" fontId="32" fillId="0" borderId="1" xfId="2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14" fillId="8" borderId="0" xfId="0" applyFont="1" applyFill="1" applyAlignment="1">
      <alignment horizontal="center"/>
    </xf>
    <xf numFmtId="0" fontId="5" fillId="8" borderId="5" xfId="2" applyFont="1" applyFill="1" applyBorder="1" applyAlignment="1">
      <alignment horizontal="center" vertical="center" wrapText="1"/>
    </xf>
    <xf numFmtId="0" fontId="6" fillId="8" borderId="8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8" borderId="0" xfId="0" applyFont="1" applyFill="1" applyAlignment="1">
      <alignment horizontal="right" vertical="center" wrapText="1"/>
    </xf>
    <xf numFmtId="0" fontId="14" fillId="8" borderId="0" xfId="2" applyFont="1" applyFill="1" applyBorder="1" applyAlignment="1">
      <alignment horizontal="center" vertical="center" wrapText="1"/>
    </xf>
    <xf numFmtId="0" fontId="2" fillId="8" borderId="5" xfId="2" applyFont="1" applyFill="1" applyBorder="1" applyAlignment="1">
      <alignment horizontal="right" vertical="center" wrapText="1"/>
    </xf>
    <xf numFmtId="0" fontId="2" fillId="8" borderId="1" xfId="2" applyFont="1" applyFill="1" applyBorder="1" applyAlignment="1">
      <alignment horizontal="center" vertical="center" wrapText="1"/>
    </xf>
    <xf numFmtId="0" fontId="2" fillId="8" borderId="6" xfId="2" applyFont="1" applyFill="1" applyBorder="1" applyAlignment="1">
      <alignment horizontal="center" vertical="center" wrapText="1"/>
    </xf>
    <xf numFmtId="0" fontId="2" fillId="8" borderId="7" xfId="2" applyFont="1" applyFill="1" applyBorder="1" applyAlignment="1">
      <alignment horizontal="center" vertical="center" wrapText="1"/>
    </xf>
    <xf numFmtId="0" fontId="2" fillId="8" borderId="2" xfId="2" applyFont="1" applyFill="1" applyBorder="1" applyAlignment="1">
      <alignment horizontal="center" vertical="center" wrapText="1"/>
    </xf>
    <xf numFmtId="0" fontId="2" fillId="8" borderId="4" xfId="2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/>
    </xf>
    <xf numFmtId="3" fontId="60" fillId="0" borderId="1" xfId="0" applyNumberFormat="1" applyFont="1" applyBorder="1" applyAlignment="1">
      <alignment horizontal="center" vertical="center" wrapText="1"/>
    </xf>
    <xf numFmtId="3" fontId="60" fillId="0" borderId="15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8" borderId="0" xfId="2" applyFont="1" applyFill="1" applyBorder="1" applyAlignment="1">
      <alignment horizontal="center" vertical="center" wrapText="1"/>
    </xf>
    <xf numFmtId="0" fontId="7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83" fillId="0" borderId="0" xfId="0" applyFont="1" applyFill="1" applyAlignment="1">
      <alignment horizontal="right" vertical="center" wrapText="1"/>
    </xf>
    <xf numFmtId="0" fontId="71" fillId="0" borderId="0" xfId="0" applyFont="1" applyFill="1" applyAlignment="1">
      <alignment horizontal="right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3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4" fillId="8" borderId="0" xfId="2" applyFont="1" applyFill="1" applyBorder="1" applyAlignment="1">
      <alignment horizontal="right" vertical="center" wrapText="1"/>
    </xf>
    <xf numFmtId="4" fontId="5" fillId="0" borderId="1" xfId="2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21" fillId="8" borderId="0" xfId="0" applyFont="1" applyFill="1" applyAlignment="1">
      <alignment horizontal="left" vertical="center" wrapText="1"/>
    </xf>
    <xf numFmtId="0" fontId="14" fillId="8" borderId="19" xfId="2" applyFont="1" applyFill="1" applyBorder="1" applyAlignment="1">
      <alignment horizontal="center" vertical="center" wrapText="1"/>
    </xf>
    <xf numFmtId="0" fontId="14" fillId="8" borderId="20" xfId="2" applyFont="1" applyFill="1" applyBorder="1" applyAlignment="1">
      <alignment horizontal="center" vertical="center" wrapText="1"/>
    </xf>
    <xf numFmtId="0" fontId="14" fillId="8" borderId="9" xfId="2" applyFont="1" applyFill="1" applyBorder="1" applyAlignment="1">
      <alignment horizontal="center" vertical="center" wrapText="1"/>
    </xf>
    <xf numFmtId="0" fontId="14" fillId="8" borderId="21" xfId="2" applyFont="1" applyFill="1" applyBorder="1" applyAlignment="1">
      <alignment horizontal="center" vertical="center" wrapText="1"/>
    </xf>
    <xf numFmtId="0" fontId="14" fillId="8" borderId="10" xfId="2" applyFont="1" applyFill="1" applyBorder="1" applyAlignment="1">
      <alignment horizontal="center" vertical="center" wrapText="1"/>
    </xf>
    <xf numFmtId="0" fontId="14" fillId="8" borderId="18" xfId="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4" fillId="8" borderId="17" xfId="2" applyFont="1" applyFill="1" applyBorder="1" applyAlignment="1">
      <alignment horizontal="center" vertical="center" wrapText="1"/>
    </xf>
    <xf numFmtId="0" fontId="14" fillId="8" borderId="12" xfId="2" applyFont="1" applyFill="1" applyBorder="1" applyAlignment="1">
      <alignment horizontal="center" vertical="center" wrapText="1"/>
    </xf>
    <xf numFmtId="0" fontId="14" fillId="8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8" borderId="0" xfId="0" applyFont="1" applyFill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  <colors>
    <mruColors>
      <color rgb="FF99FF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TUkhanova\Desktop\&#1043;&#1040;&#1047;&#1054;&#1057;&#1053;&#1040;&#1041;&#1046;&#1045;&#1053;&#1048;&#1045;\&#1055;&#1088;&#1080;&#1088;&#1086;&#1076;&#1085;&#1099;&#1081;%20&#1075;&#1072;&#1079;,%20&#1088;&#1077;&#1072;&#1083;&#1080;&#1079;.%20&#1085;&#1072;&#1089;&#1077;&#1083;&#1077;&#1085;&#1080;&#1102;\2008%20&#1075;&#1086;&#1076;\&#1055;&#1088;&#1086;&#1077;&#1082;&#1090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TUkhanova\Desktop\&#1058;&#1072;&#1088;&#1080;&#1092;&#1099;%20&#1075;&#1072;&#1079;%202012\&#1087;&#1088;&#1080;&#1088;&#1086;&#1076;&#1085;&#1099;&#1081;%20&#1075;&#1072;&#1079;%20&#1085;&#1072;&#1089;&#1077;&#1083;&#1077;&#1085;&#1080;&#1077;%202012\&#1080;&#1090;&#1086;&#1075;&#1086;&#1074;&#1072;&#1103;%20&#1087;&#1072;&#1087;&#1082;&#1072;\&#1056;&#1072;&#1089;&#1095;&#1077;&#1090;%20&#1094;&#1077;&#1085;%20&#1085;&#1072;%20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редн."/>
      <sheetName val="Расчет по методике"/>
      <sheetName val="Расч к пост"/>
      <sheetName val="Расчет к постановл.1"/>
      <sheetName val="Методика"/>
      <sheetName val="Лист1"/>
      <sheetName val="Розничн."/>
      <sheetName val="Структура"/>
    </sheetNames>
    <sheetDataSet>
      <sheetData sheetId="0"/>
      <sheetData sheetId="1"/>
      <sheetData sheetId="2"/>
      <sheetData sheetId="3">
        <row r="7">
          <cell r="C7">
            <v>176.82033000000001</v>
          </cell>
        </row>
        <row r="8">
          <cell r="C8">
            <v>115.20999</v>
          </cell>
        </row>
        <row r="10">
          <cell r="C10">
            <v>65.217529999999996</v>
          </cell>
        </row>
        <row r="11">
          <cell r="C11">
            <v>0.25214999999999999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едняя"/>
      <sheetName val="Диаграмма"/>
      <sheetName val="Сравнение по регионам"/>
      <sheetName val="Для ВА-динамика"/>
      <sheetName val="по выпадающим"/>
      <sheetName val="выпад. за 3 дня"/>
      <sheetName val="влияние2010"/>
      <sheetName val="динам. розн. цен"/>
      <sheetName val="Лист1"/>
      <sheetName val="Лист2"/>
    </sheetNames>
    <sheetDataSet>
      <sheetData sheetId="0"/>
      <sheetData sheetId="1" refreshError="1"/>
      <sheetData sheetId="2" refreshError="1"/>
      <sheetData sheetId="3" refreshError="1"/>
      <sheetData sheetId="4">
        <row r="16">
          <cell r="N16">
            <v>18141.224583780811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F33"/>
  <sheetViews>
    <sheetView zoomScale="75" workbookViewId="0">
      <selection activeCell="C26" sqref="C26"/>
    </sheetView>
  </sheetViews>
  <sheetFormatPr defaultRowHeight="15.75" x14ac:dyDescent="0.2"/>
  <cols>
    <col min="1" max="1" width="6.140625" style="1" customWidth="1"/>
    <col min="2" max="2" width="18.140625" style="1" customWidth="1"/>
    <col min="3" max="3" width="15.42578125" style="1" customWidth="1"/>
    <col min="4" max="4" width="14.42578125" style="1" customWidth="1"/>
    <col min="5" max="5" width="18.7109375" style="1" customWidth="1"/>
    <col min="6" max="6" width="12.5703125" style="1" customWidth="1"/>
    <col min="7" max="7" width="12.28515625" style="1" customWidth="1"/>
    <col min="8" max="8" width="16.85546875" style="1" customWidth="1"/>
    <col min="9" max="9" width="17.5703125" style="1" customWidth="1"/>
    <col min="10" max="10" width="16.28515625" style="1" customWidth="1"/>
    <col min="11" max="12" width="15.7109375" style="1" customWidth="1"/>
    <col min="13" max="13" width="15.140625" style="1" customWidth="1"/>
    <col min="14" max="14" width="16.85546875" style="1" customWidth="1"/>
    <col min="15" max="18" width="15.140625" style="1" customWidth="1"/>
    <col min="19" max="19" width="18.42578125" style="1" customWidth="1"/>
    <col min="20" max="20" width="18.7109375" style="1" customWidth="1"/>
    <col min="21" max="21" width="13.85546875" style="1" customWidth="1"/>
    <col min="22" max="22" width="11.85546875" style="1" customWidth="1"/>
    <col min="23" max="23" width="11.28515625" style="1" customWidth="1"/>
    <col min="24" max="24" width="10.85546875" style="1" customWidth="1"/>
    <col min="25" max="25" width="19.140625" style="1" customWidth="1"/>
    <col min="26" max="26" width="11.42578125" style="1" customWidth="1"/>
    <col min="27" max="27" width="13.140625" style="1" customWidth="1"/>
    <col min="28" max="28" width="11.42578125" style="1" customWidth="1"/>
    <col min="29" max="29" width="12.7109375" style="1" customWidth="1"/>
    <col min="30" max="30" width="12.42578125" style="1" customWidth="1"/>
    <col min="31" max="31" width="12.7109375" style="1" customWidth="1"/>
    <col min="32" max="32" width="11.5703125" style="1" customWidth="1"/>
    <col min="33" max="266" width="9.140625" style="1"/>
    <col min="267" max="267" width="6.140625" style="1" customWidth="1"/>
    <col min="268" max="268" width="18.140625" style="1" customWidth="1"/>
    <col min="269" max="269" width="15.42578125" style="1" customWidth="1"/>
    <col min="270" max="270" width="14.42578125" style="1" customWidth="1"/>
    <col min="271" max="271" width="19.28515625" style="1" customWidth="1"/>
    <col min="272" max="272" width="17.5703125" style="1" customWidth="1"/>
    <col min="273" max="273" width="16.28515625" style="1" customWidth="1"/>
    <col min="274" max="274" width="15.7109375" style="1" customWidth="1"/>
    <col min="275" max="275" width="15.140625" style="1" customWidth="1"/>
    <col min="276" max="276" width="17.42578125" style="1" customWidth="1"/>
    <col min="277" max="277" width="13.85546875" style="1" customWidth="1"/>
    <col min="278" max="278" width="11.85546875" style="1" customWidth="1"/>
    <col min="279" max="279" width="11.28515625" style="1" customWidth="1"/>
    <col min="280" max="522" width="9.140625" style="1"/>
    <col min="523" max="523" width="6.140625" style="1" customWidth="1"/>
    <col min="524" max="524" width="18.140625" style="1" customWidth="1"/>
    <col min="525" max="525" width="15.42578125" style="1" customWidth="1"/>
    <col min="526" max="526" width="14.42578125" style="1" customWidth="1"/>
    <col min="527" max="527" width="19.28515625" style="1" customWidth="1"/>
    <col min="528" max="528" width="17.5703125" style="1" customWidth="1"/>
    <col min="529" max="529" width="16.28515625" style="1" customWidth="1"/>
    <col min="530" max="530" width="15.7109375" style="1" customWidth="1"/>
    <col min="531" max="531" width="15.140625" style="1" customWidth="1"/>
    <col min="532" max="532" width="17.42578125" style="1" customWidth="1"/>
    <col min="533" max="533" width="13.85546875" style="1" customWidth="1"/>
    <col min="534" max="534" width="11.85546875" style="1" customWidth="1"/>
    <col min="535" max="535" width="11.28515625" style="1" customWidth="1"/>
    <col min="536" max="778" width="9.140625" style="1"/>
    <col min="779" max="779" width="6.140625" style="1" customWidth="1"/>
    <col min="780" max="780" width="18.140625" style="1" customWidth="1"/>
    <col min="781" max="781" width="15.42578125" style="1" customWidth="1"/>
    <col min="782" max="782" width="14.42578125" style="1" customWidth="1"/>
    <col min="783" max="783" width="19.28515625" style="1" customWidth="1"/>
    <col min="784" max="784" width="17.5703125" style="1" customWidth="1"/>
    <col min="785" max="785" width="16.28515625" style="1" customWidth="1"/>
    <col min="786" max="786" width="15.7109375" style="1" customWidth="1"/>
    <col min="787" max="787" width="15.140625" style="1" customWidth="1"/>
    <col min="788" max="788" width="17.42578125" style="1" customWidth="1"/>
    <col min="789" max="789" width="13.85546875" style="1" customWidth="1"/>
    <col min="790" max="790" width="11.85546875" style="1" customWidth="1"/>
    <col min="791" max="791" width="11.28515625" style="1" customWidth="1"/>
    <col min="792" max="1034" width="9.140625" style="1"/>
    <col min="1035" max="1035" width="6.140625" style="1" customWidth="1"/>
    <col min="1036" max="1036" width="18.140625" style="1" customWidth="1"/>
    <col min="1037" max="1037" width="15.42578125" style="1" customWidth="1"/>
    <col min="1038" max="1038" width="14.42578125" style="1" customWidth="1"/>
    <col min="1039" max="1039" width="19.28515625" style="1" customWidth="1"/>
    <col min="1040" max="1040" width="17.5703125" style="1" customWidth="1"/>
    <col min="1041" max="1041" width="16.28515625" style="1" customWidth="1"/>
    <col min="1042" max="1042" width="15.7109375" style="1" customWidth="1"/>
    <col min="1043" max="1043" width="15.140625" style="1" customWidth="1"/>
    <col min="1044" max="1044" width="17.42578125" style="1" customWidth="1"/>
    <col min="1045" max="1045" width="13.85546875" style="1" customWidth="1"/>
    <col min="1046" max="1046" width="11.85546875" style="1" customWidth="1"/>
    <col min="1047" max="1047" width="11.28515625" style="1" customWidth="1"/>
    <col min="1048" max="1290" width="9.140625" style="1"/>
    <col min="1291" max="1291" width="6.140625" style="1" customWidth="1"/>
    <col min="1292" max="1292" width="18.140625" style="1" customWidth="1"/>
    <col min="1293" max="1293" width="15.42578125" style="1" customWidth="1"/>
    <col min="1294" max="1294" width="14.42578125" style="1" customWidth="1"/>
    <col min="1295" max="1295" width="19.28515625" style="1" customWidth="1"/>
    <col min="1296" max="1296" width="17.5703125" style="1" customWidth="1"/>
    <col min="1297" max="1297" width="16.28515625" style="1" customWidth="1"/>
    <col min="1298" max="1298" width="15.7109375" style="1" customWidth="1"/>
    <col min="1299" max="1299" width="15.140625" style="1" customWidth="1"/>
    <col min="1300" max="1300" width="17.42578125" style="1" customWidth="1"/>
    <col min="1301" max="1301" width="13.85546875" style="1" customWidth="1"/>
    <col min="1302" max="1302" width="11.85546875" style="1" customWidth="1"/>
    <col min="1303" max="1303" width="11.28515625" style="1" customWidth="1"/>
    <col min="1304" max="1546" width="9.140625" style="1"/>
    <col min="1547" max="1547" width="6.140625" style="1" customWidth="1"/>
    <col min="1548" max="1548" width="18.140625" style="1" customWidth="1"/>
    <col min="1549" max="1549" width="15.42578125" style="1" customWidth="1"/>
    <col min="1550" max="1550" width="14.42578125" style="1" customWidth="1"/>
    <col min="1551" max="1551" width="19.28515625" style="1" customWidth="1"/>
    <col min="1552" max="1552" width="17.5703125" style="1" customWidth="1"/>
    <col min="1553" max="1553" width="16.28515625" style="1" customWidth="1"/>
    <col min="1554" max="1554" width="15.7109375" style="1" customWidth="1"/>
    <col min="1555" max="1555" width="15.140625" style="1" customWidth="1"/>
    <col min="1556" max="1556" width="17.42578125" style="1" customWidth="1"/>
    <col min="1557" max="1557" width="13.85546875" style="1" customWidth="1"/>
    <col min="1558" max="1558" width="11.85546875" style="1" customWidth="1"/>
    <col min="1559" max="1559" width="11.28515625" style="1" customWidth="1"/>
    <col min="1560" max="1802" width="9.140625" style="1"/>
    <col min="1803" max="1803" width="6.140625" style="1" customWidth="1"/>
    <col min="1804" max="1804" width="18.140625" style="1" customWidth="1"/>
    <col min="1805" max="1805" width="15.42578125" style="1" customWidth="1"/>
    <col min="1806" max="1806" width="14.42578125" style="1" customWidth="1"/>
    <col min="1807" max="1807" width="19.28515625" style="1" customWidth="1"/>
    <col min="1808" max="1808" width="17.5703125" style="1" customWidth="1"/>
    <col min="1809" max="1809" width="16.28515625" style="1" customWidth="1"/>
    <col min="1810" max="1810" width="15.7109375" style="1" customWidth="1"/>
    <col min="1811" max="1811" width="15.140625" style="1" customWidth="1"/>
    <col min="1812" max="1812" width="17.42578125" style="1" customWidth="1"/>
    <col min="1813" max="1813" width="13.85546875" style="1" customWidth="1"/>
    <col min="1814" max="1814" width="11.85546875" style="1" customWidth="1"/>
    <col min="1815" max="1815" width="11.28515625" style="1" customWidth="1"/>
    <col min="1816" max="2058" width="9.140625" style="1"/>
    <col min="2059" max="2059" width="6.140625" style="1" customWidth="1"/>
    <col min="2060" max="2060" width="18.140625" style="1" customWidth="1"/>
    <col min="2061" max="2061" width="15.42578125" style="1" customWidth="1"/>
    <col min="2062" max="2062" width="14.42578125" style="1" customWidth="1"/>
    <col min="2063" max="2063" width="19.28515625" style="1" customWidth="1"/>
    <col min="2064" max="2064" width="17.5703125" style="1" customWidth="1"/>
    <col min="2065" max="2065" width="16.28515625" style="1" customWidth="1"/>
    <col min="2066" max="2066" width="15.7109375" style="1" customWidth="1"/>
    <col min="2067" max="2067" width="15.140625" style="1" customWidth="1"/>
    <col min="2068" max="2068" width="17.42578125" style="1" customWidth="1"/>
    <col min="2069" max="2069" width="13.85546875" style="1" customWidth="1"/>
    <col min="2070" max="2070" width="11.85546875" style="1" customWidth="1"/>
    <col min="2071" max="2071" width="11.28515625" style="1" customWidth="1"/>
    <col min="2072" max="2314" width="9.140625" style="1"/>
    <col min="2315" max="2315" width="6.140625" style="1" customWidth="1"/>
    <col min="2316" max="2316" width="18.140625" style="1" customWidth="1"/>
    <col min="2317" max="2317" width="15.42578125" style="1" customWidth="1"/>
    <col min="2318" max="2318" width="14.42578125" style="1" customWidth="1"/>
    <col min="2319" max="2319" width="19.28515625" style="1" customWidth="1"/>
    <col min="2320" max="2320" width="17.5703125" style="1" customWidth="1"/>
    <col min="2321" max="2321" width="16.28515625" style="1" customWidth="1"/>
    <col min="2322" max="2322" width="15.7109375" style="1" customWidth="1"/>
    <col min="2323" max="2323" width="15.140625" style="1" customWidth="1"/>
    <col min="2324" max="2324" width="17.42578125" style="1" customWidth="1"/>
    <col min="2325" max="2325" width="13.85546875" style="1" customWidth="1"/>
    <col min="2326" max="2326" width="11.85546875" style="1" customWidth="1"/>
    <col min="2327" max="2327" width="11.28515625" style="1" customWidth="1"/>
    <col min="2328" max="2570" width="9.140625" style="1"/>
    <col min="2571" max="2571" width="6.140625" style="1" customWidth="1"/>
    <col min="2572" max="2572" width="18.140625" style="1" customWidth="1"/>
    <col min="2573" max="2573" width="15.42578125" style="1" customWidth="1"/>
    <col min="2574" max="2574" width="14.42578125" style="1" customWidth="1"/>
    <col min="2575" max="2575" width="19.28515625" style="1" customWidth="1"/>
    <col min="2576" max="2576" width="17.5703125" style="1" customWidth="1"/>
    <col min="2577" max="2577" width="16.28515625" style="1" customWidth="1"/>
    <col min="2578" max="2578" width="15.7109375" style="1" customWidth="1"/>
    <col min="2579" max="2579" width="15.140625" style="1" customWidth="1"/>
    <col min="2580" max="2580" width="17.42578125" style="1" customWidth="1"/>
    <col min="2581" max="2581" width="13.85546875" style="1" customWidth="1"/>
    <col min="2582" max="2582" width="11.85546875" style="1" customWidth="1"/>
    <col min="2583" max="2583" width="11.28515625" style="1" customWidth="1"/>
    <col min="2584" max="2826" width="9.140625" style="1"/>
    <col min="2827" max="2827" width="6.140625" style="1" customWidth="1"/>
    <col min="2828" max="2828" width="18.140625" style="1" customWidth="1"/>
    <col min="2829" max="2829" width="15.42578125" style="1" customWidth="1"/>
    <col min="2830" max="2830" width="14.42578125" style="1" customWidth="1"/>
    <col min="2831" max="2831" width="19.28515625" style="1" customWidth="1"/>
    <col min="2832" max="2832" width="17.5703125" style="1" customWidth="1"/>
    <col min="2833" max="2833" width="16.28515625" style="1" customWidth="1"/>
    <col min="2834" max="2834" width="15.7109375" style="1" customWidth="1"/>
    <col min="2835" max="2835" width="15.140625" style="1" customWidth="1"/>
    <col min="2836" max="2836" width="17.42578125" style="1" customWidth="1"/>
    <col min="2837" max="2837" width="13.85546875" style="1" customWidth="1"/>
    <col min="2838" max="2838" width="11.85546875" style="1" customWidth="1"/>
    <col min="2839" max="2839" width="11.28515625" style="1" customWidth="1"/>
    <col min="2840" max="3082" width="9.140625" style="1"/>
    <col min="3083" max="3083" width="6.140625" style="1" customWidth="1"/>
    <col min="3084" max="3084" width="18.140625" style="1" customWidth="1"/>
    <col min="3085" max="3085" width="15.42578125" style="1" customWidth="1"/>
    <col min="3086" max="3086" width="14.42578125" style="1" customWidth="1"/>
    <col min="3087" max="3087" width="19.28515625" style="1" customWidth="1"/>
    <col min="3088" max="3088" width="17.5703125" style="1" customWidth="1"/>
    <col min="3089" max="3089" width="16.28515625" style="1" customWidth="1"/>
    <col min="3090" max="3090" width="15.7109375" style="1" customWidth="1"/>
    <col min="3091" max="3091" width="15.140625" style="1" customWidth="1"/>
    <col min="3092" max="3092" width="17.42578125" style="1" customWidth="1"/>
    <col min="3093" max="3093" width="13.85546875" style="1" customWidth="1"/>
    <col min="3094" max="3094" width="11.85546875" style="1" customWidth="1"/>
    <col min="3095" max="3095" width="11.28515625" style="1" customWidth="1"/>
    <col min="3096" max="3338" width="9.140625" style="1"/>
    <col min="3339" max="3339" width="6.140625" style="1" customWidth="1"/>
    <col min="3340" max="3340" width="18.140625" style="1" customWidth="1"/>
    <col min="3341" max="3341" width="15.42578125" style="1" customWidth="1"/>
    <col min="3342" max="3342" width="14.42578125" style="1" customWidth="1"/>
    <col min="3343" max="3343" width="19.28515625" style="1" customWidth="1"/>
    <col min="3344" max="3344" width="17.5703125" style="1" customWidth="1"/>
    <col min="3345" max="3345" width="16.28515625" style="1" customWidth="1"/>
    <col min="3346" max="3346" width="15.7109375" style="1" customWidth="1"/>
    <col min="3347" max="3347" width="15.140625" style="1" customWidth="1"/>
    <col min="3348" max="3348" width="17.42578125" style="1" customWidth="1"/>
    <col min="3349" max="3349" width="13.85546875" style="1" customWidth="1"/>
    <col min="3350" max="3350" width="11.85546875" style="1" customWidth="1"/>
    <col min="3351" max="3351" width="11.28515625" style="1" customWidth="1"/>
    <col min="3352" max="3594" width="9.140625" style="1"/>
    <col min="3595" max="3595" width="6.140625" style="1" customWidth="1"/>
    <col min="3596" max="3596" width="18.140625" style="1" customWidth="1"/>
    <col min="3597" max="3597" width="15.42578125" style="1" customWidth="1"/>
    <col min="3598" max="3598" width="14.42578125" style="1" customWidth="1"/>
    <col min="3599" max="3599" width="19.28515625" style="1" customWidth="1"/>
    <col min="3600" max="3600" width="17.5703125" style="1" customWidth="1"/>
    <col min="3601" max="3601" width="16.28515625" style="1" customWidth="1"/>
    <col min="3602" max="3602" width="15.7109375" style="1" customWidth="1"/>
    <col min="3603" max="3603" width="15.140625" style="1" customWidth="1"/>
    <col min="3604" max="3604" width="17.42578125" style="1" customWidth="1"/>
    <col min="3605" max="3605" width="13.85546875" style="1" customWidth="1"/>
    <col min="3606" max="3606" width="11.85546875" style="1" customWidth="1"/>
    <col min="3607" max="3607" width="11.28515625" style="1" customWidth="1"/>
    <col min="3608" max="3850" width="9.140625" style="1"/>
    <col min="3851" max="3851" width="6.140625" style="1" customWidth="1"/>
    <col min="3852" max="3852" width="18.140625" style="1" customWidth="1"/>
    <col min="3853" max="3853" width="15.42578125" style="1" customWidth="1"/>
    <col min="3854" max="3854" width="14.42578125" style="1" customWidth="1"/>
    <col min="3855" max="3855" width="19.28515625" style="1" customWidth="1"/>
    <col min="3856" max="3856" width="17.5703125" style="1" customWidth="1"/>
    <col min="3857" max="3857" width="16.28515625" style="1" customWidth="1"/>
    <col min="3858" max="3858" width="15.7109375" style="1" customWidth="1"/>
    <col min="3859" max="3859" width="15.140625" style="1" customWidth="1"/>
    <col min="3860" max="3860" width="17.42578125" style="1" customWidth="1"/>
    <col min="3861" max="3861" width="13.85546875" style="1" customWidth="1"/>
    <col min="3862" max="3862" width="11.85546875" style="1" customWidth="1"/>
    <col min="3863" max="3863" width="11.28515625" style="1" customWidth="1"/>
    <col min="3864" max="4106" width="9.140625" style="1"/>
    <col min="4107" max="4107" width="6.140625" style="1" customWidth="1"/>
    <col min="4108" max="4108" width="18.140625" style="1" customWidth="1"/>
    <col min="4109" max="4109" width="15.42578125" style="1" customWidth="1"/>
    <col min="4110" max="4110" width="14.42578125" style="1" customWidth="1"/>
    <col min="4111" max="4111" width="19.28515625" style="1" customWidth="1"/>
    <col min="4112" max="4112" width="17.5703125" style="1" customWidth="1"/>
    <col min="4113" max="4113" width="16.28515625" style="1" customWidth="1"/>
    <col min="4114" max="4114" width="15.7109375" style="1" customWidth="1"/>
    <col min="4115" max="4115" width="15.140625" style="1" customWidth="1"/>
    <col min="4116" max="4116" width="17.42578125" style="1" customWidth="1"/>
    <col min="4117" max="4117" width="13.85546875" style="1" customWidth="1"/>
    <col min="4118" max="4118" width="11.85546875" style="1" customWidth="1"/>
    <col min="4119" max="4119" width="11.28515625" style="1" customWidth="1"/>
    <col min="4120" max="4362" width="9.140625" style="1"/>
    <col min="4363" max="4363" width="6.140625" style="1" customWidth="1"/>
    <col min="4364" max="4364" width="18.140625" style="1" customWidth="1"/>
    <col min="4365" max="4365" width="15.42578125" style="1" customWidth="1"/>
    <col min="4366" max="4366" width="14.42578125" style="1" customWidth="1"/>
    <col min="4367" max="4367" width="19.28515625" style="1" customWidth="1"/>
    <col min="4368" max="4368" width="17.5703125" style="1" customWidth="1"/>
    <col min="4369" max="4369" width="16.28515625" style="1" customWidth="1"/>
    <col min="4370" max="4370" width="15.7109375" style="1" customWidth="1"/>
    <col min="4371" max="4371" width="15.140625" style="1" customWidth="1"/>
    <col min="4372" max="4372" width="17.42578125" style="1" customWidth="1"/>
    <col min="4373" max="4373" width="13.85546875" style="1" customWidth="1"/>
    <col min="4374" max="4374" width="11.85546875" style="1" customWidth="1"/>
    <col min="4375" max="4375" width="11.28515625" style="1" customWidth="1"/>
    <col min="4376" max="4618" width="9.140625" style="1"/>
    <col min="4619" max="4619" width="6.140625" style="1" customWidth="1"/>
    <col min="4620" max="4620" width="18.140625" style="1" customWidth="1"/>
    <col min="4621" max="4621" width="15.42578125" style="1" customWidth="1"/>
    <col min="4622" max="4622" width="14.42578125" style="1" customWidth="1"/>
    <col min="4623" max="4623" width="19.28515625" style="1" customWidth="1"/>
    <col min="4624" max="4624" width="17.5703125" style="1" customWidth="1"/>
    <col min="4625" max="4625" width="16.28515625" style="1" customWidth="1"/>
    <col min="4626" max="4626" width="15.7109375" style="1" customWidth="1"/>
    <col min="4627" max="4627" width="15.140625" style="1" customWidth="1"/>
    <col min="4628" max="4628" width="17.42578125" style="1" customWidth="1"/>
    <col min="4629" max="4629" width="13.85546875" style="1" customWidth="1"/>
    <col min="4630" max="4630" width="11.85546875" style="1" customWidth="1"/>
    <col min="4631" max="4631" width="11.28515625" style="1" customWidth="1"/>
    <col min="4632" max="4874" width="9.140625" style="1"/>
    <col min="4875" max="4875" width="6.140625" style="1" customWidth="1"/>
    <col min="4876" max="4876" width="18.140625" style="1" customWidth="1"/>
    <col min="4877" max="4877" width="15.42578125" style="1" customWidth="1"/>
    <col min="4878" max="4878" width="14.42578125" style="1" customWidth="1"/>
    <col min="4879" max="4879" width="19.28515625" style="1" customWidth="1"/>
    <col min="4880" max="4880" width="17.5703125" style="1" customWidth="1"/>
    <col min="4881" max="4881" width="16.28515625" style="1" customWidth="1"/>
    <col min="4882" max="4882" width="15.7109375" style="1" customWidth="1"/>
    <col min="4883" max="4883" width="15.140625" style="1" customWidth="1"/>
    <col min="4884" max="4884" width="17.42578125" style="1" customWidth="1"/>
    <col min="4885" max="4885" width="13.85546875" style="1" customWidth="1"/>
    <col min="4886" max="4886" width="11.85546875" style="1" customWidth="1"/>
    <col min="4887" max="4887" width="11.28515625" style="1" customWidth="1"/>
    <col min="4888" max="5130" width="9.140625" style="1"/>
    <col min="5131" max="5131" width="6.140625" style="1" customWidth="1"/>
    <col min="5132" max="5132" width="18.140625" style="1" customWidth="1"/>
    <col min="5133" max="5133" width="15.42578125" style="1" customWidth="1"/>
    <col min="5134" max="5134" width="14.42578125" style="1" customWidth="1"/>
    <col min="5135" max="5135" width="19.28515625" style="1" customWidth="1"/>
    <col min="5136" max="5136" width="17.5703125" style="1" customWidth="1"/>
    <col min="5137" max="5137" width="16.28515625" style="1" customWidth="1"/>
    <col min="5138" max="5138" width="15.7109375" style="1" customWidth="1"/>
    <col min="5139" max="5139" width="15.140625" style="1" customWidth="1"/>
    <col min="5140" max="5140" width="17.42578125" style="1" customWidth="1"/>
    <col min="5141" max="5141" width="13.85546875" style="1" customWidth="1"/>
    <col min="5142" max="5142" width="11.85546875" style="1" customWidth="1"/>
    <col min="5143" max="5143" width="11.28515625" style="1" customWidth="1"/>
    <col min="5144" max="5386" width="9.140625" style="1"/>
    <col min="5387" max="5387" width="6.140625" style="1" customWidth="1"/>
    <col min="5388" max="5388" width="18.140625" style="1" customWidth="1"/>
    <col min="5389" max="5389" width="15.42578125" style="1" customWidth="1"/>
    <col min="5390" max="5390" width="14.42578125" style="1" customWidth="1"/>
    <col min="5391" max="5391" width="19.28515625" style="1" customWidth="1"/>
    <col min="5392" max="5392" width="17.5703125" style="1" customWidth="1"/>
    <col min="5393" max="5393" width="16.28515625" style="1" customWidth="1"/>
    <col min="5394" max="5394" width="15.7109375" style="1" customWidth="1"/>
    <col min="5395" max="5395" width="15.140625" style="1" customWidth="1"/>
    <col min="5396" max="5396" width="17.42578125" style="1" customWidth="1"/>
    <col min="5397" max="5397" width="13.85546875" style="1" customWidth="1"/>
    <col min="5398" max="5398" width="11.85546875" style="1" customWidth="1"/>
    <col min="5399" max="5399" width="11.28515625" style="1" customWidth="1"/>
    <col min="5400" max="5642" width="9.140625" style="1"/>
    <col min="5643" max="5643" width="6.140625" style="1" customWidth="1"/>
    <col min="5644" max="5644" width="18.140625" style="1" customWidth="1"/>
    <col min="5645" max="5645" width="15.42578125" style="1" customWidth="1"/>
    <col min="5646" max="5646" width="14.42578125" style="1" customWidth="1"/>
    <col min="5647" max="5647" width="19.28515625" style="1" customWidth="1"/>
    <col min="5648" max="5648" width="17.5703125" style="1" customWidth="1"/>
    <col min="5649" max="5649" width="16.28515625" style="1" customWidth="1"/>
    <col min="5650" max="5650" width="15.7109375" style="1" customWidth="1"/>
    <col min="5651" max="5651" width="15.140625" style="1" customWidth="1"/>
    <col min="5652" max="5652" width="17.42578125" style="1" customWidth="1"/>
    <col min="5653" max="5653" width="13.85546875" style="1" customWidth="1"/>
    <col min="5654" max="5654" width="11.85546875" style="1" customWidth="1"/>
    <col min="5655" max="5655" width="11.28515625" style="1" customWidth="1"/>
    <col min="5656" max="5898" width="9.140625" style="1"/>
    <col min="5899" max="5899" width="6.140625" style="1" customWidth="1"/>
    <col min="5900" max="5900" width="18.140625" style="1" customWidth="1"/>
    <col min="5901" max="5901" width="15.42578125" style="1" customWidth="1"/>
    <col min="5902" max="5902" width="14.42578125" style="1" customWidth="1"/>
    <col min="5903" max="5903" width="19.28515625" style="1" customWidth="1"/>
    <col min="5904" max="5904" width="17.5703125" style="1" customWidth="1"/>
    <col min="5905" max="5905" width="16.28515625" style="1" customWidth="1"/>
    <col min="5906" max="5906" width="15.7109375" style="1" customWidth="1"/>
    <col min="5907" max="5907" width="15.140625" style="1" customWidth="1"/>
    <col min="5908" max="5908" width="17.42578125" style="1" customWidth="1"/>
    <col min="5909" max="5909" width="13.85546875" style="1" customWidth="1"/>
    <col min="5910" max="5910" width="11.85546875" style="1" customWidth="1"/>
    <col min="5911" max="5911" width="11.28515625" style="1" customWidth="1"/>
    <col min="5912" max="6154" width="9.140625" style="1"/>
    <col min="6155" max="6155" width="6.140625" style="1" customWidth="1"/>
    <col min="6156" max="6156" width="18.140625" style="1" customWidth="1"/>
    <col min="6157" max="6157" width="15.42578125" style="1" customWidth="1"/>
    <col min="6158" max="6158" width="14.42578125" style="1" customWidth="1"/>
    <col min="6159" max="6159" width="19.28515625" style="1" customWidth="1"/>
    <col min="6160" max="6160" width="17.5703125" style="1" customWidth="1"/>
    <col min="6161" max="6161" width="16.28515625" style="1" customWidth="1"/>
    <col min="6162" max="6162" width="15.7109375" style="1" customWidth="1"/>
    <col min="6163" max="6163" width="15.140625" style="1" customWidth="1"/>
    <col min="6164" max="6164" width="17.42578125" style="1" customWidth="1"/>
    <col min="6165" max="6165" width="13.85546875" style="1" customWidth="1"/>
    <col min="6166" max="6166" width="11.85546875" style="1" customWidth="1"/>
    <col min="6167" max="6167" width="11.28515625" style="1" customWidth="1"/>
    <col min="6168" max="6410" width="9.140625" style="1"/>
    <col min="6411" max="6411" width="6.140625" style="1" customWidth="1"/>
    <col min="6412" max="6412" width="18.140625" style="1" customWidth="1"/>
    <col min="6413" max="6413" width="15.42578125" style="1" customWidth="1"/>
    <col min="6414" max="6414" width="14.42578125" style="1" customWidth="1"/>
    <col min="6415" max="6415" width="19.28515625" style="1" customWidth="1"/>
    <col min="6416" max="6416" width="17.5703125" style="1" customWidth="1"/>
    <col min="6417" max="6417" width="16.28515625" style="1" customWidth="1"/>
    <col min="6418" max="6418" width="15.7109375" style="1" customWidth="1"/>
    <col min="6419" max="6419" width="15.140625" style="1" customWidth="1"/>
    <col min="6420" max="6420" width="17.42578125" style="1" customWidth="1"/>
    <col min="6421" max="6421" width="13.85546875" style="1" customWidth="1"/>
    <col min="6422" max="6422" width="11.85546875" style="1" customWidth="1"/>
    <col min="6423" max="6423" width="11.28515625" style="1" customWidth="1"/>
    <col min="6424" max="6666" width="9.140625" style="1"/>
    <col min="6667" max="6667" width="6.140625" style="1" customWidth="1"/>
    <col min="6668" max="6668" width="18.140625" style="1" customWidth="1"/>
    <col min="6669" max="6669" width="15.42578125" style="1" customWidth="1"/>
    <col min="6670" max="6670" width="14.42578125" style="1" customWidth="1"/>
    <col min="6671" max="6671" width="19.28515625" style="1" customWidth="1"/>
    <col min="6672" max="6672" width="17.5703125" style="1" customWidth="1"/>
    <col min="6673" max="6673" width="16.28515625" style="1" customWidth="1"/>
    <col min="6674" max="6674" width="15.7109375" style="1" customWidth="1"/>
    <col min="6675" max="6675" width="15.140625" style="1" customWidth="1"/>
    <col min="6676" max="6676" width="17.42578125" style="1" customWidth="1"/>
    <col min="6677" max="6677" width="13.85546875" style="1" customWidth="1"/>
    <col min="6678" max="6678" width="11.85546875" style="1" customWidth="1"/>
    <col min="6679" max="6679" width="11.28515625" style="1" customWidth="1"/>
    <col min="6680" max="6922" width="9.140625" style="1"/>
    <col min="6923" max="6923" width="6.140625" style="1" customWidth="1"/>
    <col min="6924" max="6924" width="18.140625" style="1" customWidth="1"/>
    <col min="6925" max="6925" width="15.42578125" style="1" customWidth="1"/>
    <col min="6926" max="6926" width="14.42578125" style="1" customWidth="1"/>
    <col min="6927" max="6927" width="19.28515625" style="1" customWidth="1"/>
    <col min="6928" max="6928" width="17.5703125" style="1" customWidth="1"/>
    <col min="6929" max="6929" width="16.28515625" style="1" customWidth="1"/>
    <col min="6930" max="6930" width="15.7109375" style="1" customWidth="1"/>
    <col min="6931" max="6931" width="15.140625" style="1" customWidth="1"/>
    <col min="6932" max="6932" width="17.42578125" style="1" customWidth="1"/>
    <col min="6933" max="6933" width="13.85546875" style="1" customWidth="1"/>
    <col min="6934" max="6934" width="11.85546875" style="1" customWidth="1"/>
    <col min="6935" max="6935" width="11.28515625" style="1" customWidth="1"/>
    <col min="6936" max="7178" width="9.140625" style="1"/>
    <col min="7179" max="7179" width="6.140625" style="1" customWidth="1"/>
    <col min="7180" max="7180" width="18.140625" style="1" customWidth="1"/>
    <col min="7181" max="7181" width="15.42578125" style="1" customWidth="1"/>
    <col min="7182" max="7182" width="14.42578125" style="1" customWidth="1"/>
    <col min="7183" max="7183" width="19.28515625" style="1" customWidth="1"/>
    <col min="7184" max="7184" width="17.5703125" style="1" customWidth="1"/>
    <col min="7185" max="7185" width="16.28515625" style="1" customWidth="1"/>
    <col min="7186" max="7186" width="15.7109375" style="1" customWidth="1"/>
    <col min="7187" max="7187" width="15.140625" style="1" customWidth="1"/>
    <col min="7188" max="7188" width="17.42578125" style="1" customWidth="1"/>
    <col min="7189" max="7189" width="13.85546875" style="1" customWidth="1"/>
    <col min="7190" max="7190" width="11.85546875" style="1" customWidth="1"/>
    <col min="7191" max="7191" width="11.28515625" style="1" customWidth="1"/>
    <col min="7192" max="7434" width="9.140625" style="1"/>
    <col min="7435" max="7435" width="6.140625" style="1" customWidth="1"/>
    <col min="7436" max="7436" width="18.140625" style="1" customWidth="1"/>
    <col min="7437" max="7437" width="15.42578125" style="1" customWidth="1"/>
    <col min="7438" max="7438" width="14.42578125" style="1" customWidth="1"/>
    <col min="7439" max="7439" width="19.28515625" style="1" customWidth="1"/>
    <col min="7440" max="7440" width="17.5703125" style="1" customWidth="1"/>
    <col min="7441" max="7441" width="16.28515625" style="1" customWidth="1"/>
    <col min="7442" max="7442" width="15.7109375" style="1" customWidth="1"/>
    <col min="7443" max="7443" width="15.140625" style="1" customWidth="1"/>
    <col min="7444" max="7444" width="17.42578125" style="1" customWidth="1"/>
    <col min="7445" max="7445" width="13.85546875" style="1" customWidth="1"/>
    <col min="7446" max="7446" width="11.85546875" style="1" customWidth="1"/>
    <col min="7447" max="7447" width="11.28515625" style="1" customWidth="1"/>
    <col min="7448" max="7690" width="9.140625" style="1"/>
    <col min="7691" max="7691" width="6.140625" style="1" customWidth="1"/>
    <col min="7692" max="7692" width="18.140625" style="1" customWidth="1"/>
    <col min="7693" max="7693" width="15.42578125" style="1" customWidth="1"/>
    <col min="7694" max="7694" width="14.42578125" style="1" customWidth="1"/>
    <col min="7695" max="7695" width="19.28515625" style="1" customWidth="1"/>
    <col min="7696" max="7696" width="17.5703125" style="1" customWidth="1"/>
    <col min="7697" max="7697" width="16.28515625" style="1" customWidth="1"/>
    <col min="7698" max="7698" width="15.7109375" style="1" customWidth="1"/>
    <col min="7699" max="7699" width="15.140625" style="1" customWidth="1"/>
    <col min="7700" max="7700" width="17.42578125" style="1" customWidth="1"/>
    <col min="7701" max="7701" width="13.85546875" style="1" customWidth="1"/>
    <col min="7702" max="7702" width="11.85546875" style="1" customWidth="1"/>
    <col min="7703" max="7703" width="11.28515625" style="1" customWidth="1"/>
    <col min="7704" max="7946" width="9.140625" style="1"/>
    <col min="7947" max="7947" width="6.140625" style="1" customWidth="1"/>
    <col min="7948" max="7948" width="18.140625" style="1" customWidth="1"/>
    <col min="7949" max="7949" width="15.42578125" style="1" customWidth="1"/>
    <col min="7950" max="7950" width="14.42578125" style="1" customWidth="1"/>
    <col min="7951" max="7951" width="19.28515625" style="1" customWidth="1"/>
    <col min="7952" max="7952" width="17.5703125" style="1" customWidth="1"/>
    <col min="7953" max="7953" width="16.28515625" style="1" customWidth="1"/>
    <col min="7954" max="7954" width="15.7109375" style="1" customWidth="1"/>
    <col min="7955" max="7955" width="15.140625" style="1" customWidth="1"/>
    <col min="7956" max="7956" width="17.42578125" style="1" customWidth="1"/>
    <col min="7957" max="7957" width="13.85546875" style="1" customWidth="1"/>
    <col min="7958" max="7958" width="11.85546875" style="1" customWidth="1"/>
    <col min="7959" max="7959" width="11.28515625" style="1" customWidth="1"/>
    <col min="7960" max="8202" width="9.140625" style="1"/>
    <col min="8203" max="8203" width="6.140625" style="1" customWidth="1"/>
    <col min="8204" max="8204" width="18.140625" style="1" customWidth="1"/>
    <col min="8205" max="8205" width="15.42578125" style="1" customWidth="1"/>
    <col min="8206" max="8206" width="14.42578125" style="1" customWidth="1"/>
    <col min="8207" max="8207" width="19.28515625" style="1" customWidth="1"/>
    <col min="8208" max="8208" width="17.5703125" style="1" customWidth="1"/>
    <col min="8209" max="8209" width="16.28515625" style="1" customWidth="1"/>
    <col min="8210" max="8210" width="15.7109375" style="1" customWidth="1"/>
    <col min="8211" max="8211" width="15.140625" style="1" customWidth="1"/>
    <col min="8212" max="8212" width="17.42578125" style="1" customWidth="1"/>
    <col min="8213" max="8213" width="13.85546875" style="1" customWidth="1"/>
    <col min="8214" max="8214" width="11.85546875" style="1" customWidth="1"/>
    <col min="8215" max="8215" width="11.28515625" style="1" customWidth="1"/>
    <col min="8216" max="8458" width="9.140625" style="1"/>
    <col min="8459" max="8459" width="6.140625" style="1" customWidth="1"/>
    <col min="8460" max="8460" width="18.140625" style="1" customWidth="1"/>
    <col min="8461" max="8461" width="15.42578125" style="1" customWidth="1"/>
    <col min="8462" max="8462" width="14.42578125" style="1" customWidth="1"/>
    <col min="8463" max="8463" width="19.28515625" style="1" customWidth="1"/>
    <col min="8464" max="8464" width="17.5703125" style="1" customWidth="1"/>
    <col min="8465" max="8465" width="16.28515625" style="1" customWidth="1"/>
    <col min="8466" max="8466" width="15.7109375" style="1" customWidth="1"/>
    <col min="8467" max="8467" width="15.140625" style="1" customWidth="1"/>
    <col min="8468" max="8468" width="17.42578125" style="1" customWidth="1"/>
    <col min="8469" max="8469" width="13.85546875" style="1" customWidth="1"/>
    <col min="8470" max="8470" width="11.85546875" style="1" customWidth="1"/>
    <col min="8471" max="8471" width="11.28515625" style="1" customWidth="1"/>
    <col min="8472" max="8714" width="9.140625" style="1"/>
    <col min="8715" max="8715" width="6.140625" style="1" customWidth="1"/>
    <col min="8716" max="8716" width="18.140625" style="1" customWidth="1"/>
    <col min="8717" max="8717" width="15.42578125" style="1" customWidth="1"/>
    <col min="8718" max="8718" width="14.42578125" style="1" customWidth="1"/>
    <col min="8719" max="8719" width="19.28515625" style="1" customWidth="1"/>
    <col min="8720" max="8720" width="17.5703125" style="1" customWidth="1"/>
    <col min="8721" max="8721" width="16.28515625" style="1" customWidth="1"/>
    <col min="8722" max="8722" width="15.7109375" style="1" customWidth="1"/>
    <col min="8723" max="8723" width="15.140625" style="1" customWidth="1"/>
    <col min="8724" max="8724" width="17.42578125" style="1" customWidth="1"/>
    <col min="8725" max="8725" width="13.85546875" style="1" customWidth="1"/>
    <col min="8726" max="8726" width="11.85546875" style="1" customWidth="1"/>
    <col min="8727" max="8727" width="11.28515625" style="1" customWidth="1"/>
    <col min="8728" max="8970" width="9.140625" style="1"/>
    <col min="8971" max="8971" width="6.140625" style="1" customWidth="1"/>
    <col min="8972" max="8972" width="18.140625" style="1" customWidth="1"/>
    <col min="8973" max="8973" width="15.42578125" style="1" customWidth="1"/>
    <col min="8974" max="8974" width="14.42578125" style="1" customWidth="1"/>
    <col min="8975" max="8975" width="19.28515625" style="1" customWidth="1"/>
    <col min="8976" max="8976" width="17.5703125" style="1" customWidth="1"/>
    <col min="8977" max="8977" width="16.28515625" style="1" customWidth="1"/>
    <col min="8978" max="8978" width="15.7109375" style="1" customWidth="1"/>
    <col min="8979" max="8979" width="15.140625" style="1" customWidth="1"/>
    <col min="8980" max="8980" width="17.42578125" style="1" customWidth="1"/>
    <col min="8981" max="8981" width="13.85546875" style="1" customWidth="1"/>
    <col min="8982" max="8982" width="11.85546875" style="1" customWidth="1"/>
    <col min="8983" max="8983" width="11.28515625" style="1" customWidth="1"/>
    <col min="8984" max="9226" width="9.140625" style="1"/>
    <col min="9227" max="9227" width="6.140625" style="1" customWidth="1"/>
    <col min="9228" max="9228" width="18.140625" style="1" customWidth="1"/>
    <col min="9229" max="9229" width="15.42578125" style="1" customWidth="1"/>
    <col min="9230" max="9230" width="14.42578125" style="1" customWidth="1"/>
    <col min="9231" max="9231" width="19.28515625" style="1" customWidth="1"/>
    <col min="9232" max="9232" width="17.5703125" style="1" customWidth="1"/>
    <col min="9233" max="9233" width="16.28515625" style="1" customWidth="1"/>
    <col min="9234" max="9234" width="15.7109375" style="1" customWidth="1"/>
    <col min="9235" max="9235" width="15.140625" style="1" customWidth="1"/>
    <col min="9236" max="9236" width="17.42578125" style="1" customWidth="1"/>
    <col min="9237" max="9237" width="13.85546875" style="1" customWidth="1"/>
    <col min="9238" max="9238" width="11.85546875" style="1" customWidth="1"/>
    <col min="9239" max="9239" width="11.28515625" style="1" customWidth="1"/>
    <col min="9240" max="9482" width="9.140625" style="1"/>
    <col min="9483" max="9483" width="6.140625" style="1" customWidth="1"/>
    <col min="9484" max="9484" width="18.140625" style="1" customWidth="1"/>
    <col min="9485" max="9485" width="15.42578125" style="1" customWidth="1"/>
    <col min="9486" max="9486" width="14.42578125" style="1" customWidth="1"/>
    <col min="9487" max="9487" width="19.28515625" style="1" customWidth="1"/>
    <col min="9488" max="9488" width="17.5703125" style="1" customWidth="1"/>
    <col min="9489" max="9489" width="16.28515625" style="1" customWidth="1"/>
    <col min="9490" max="9490" width="15.7109375" style="1" customWidth="1"/>
    <col min="9491" max="9491" width="15.140625" style="1" customWidth="1"/>
    <col min="9492" max="9492" width="17.42578125" style="1" customWidth="1"/>
    <col min="9493" max="9493" width="13.85546875" style="1" customWidth="1"/>
    <col min="9494" max="9494" width="11.85546875" style="1" customWidth="1"/>
    <col min="9495" max="9495" width="11.28515625" style="1" customWidth="1"/>
    <col min="9496" max="9738" width="9.140625" style="1"/>
    <col min="9739" max="9739" width="6.140625" style="1" customWidth="1"/>
    <col min="9740" max="9740" width="18.140625" style="1" customWidth="1"/>
    <col min="9741" max="9741" width="15.42578125" style="1" customWidth="1"/>
    <col min="9742" max="9742" width="14.42578125" style="1" customWidth="1"/>
    <col min="9743" max="9743" width="19.28515625" style="1" customWidth="1"/>
    <col min="9744" max="9744" width="17.5703125" style="1" customWidth="1"/>
    <col min="9745" max="9745" width="16.28515625" style="1" customWidth="1"/>
    <col min="9746" max="9746" width="15.7109375" style="1" customWidth="1"/>
    <col min="9747" max="9747" width="15.140625" style="1" customWidth="1"/>
    <col min="9748" max="9748" width="17.42578125" style="1" customWidth="1"/>
    <col min="9749" max="9749" width="13.85546875" style="1" customWidth="1"/>
    <col min="9750" max="9750" width="11.85546875" style="1" customWidth="1"/>
    <col min="9751" max="9751" width="11.28515625" style="1" customWidth="1"/>
    <col min="9752" max="9994" width="9.140625" style="1"/>
    <col min="9995" max="9995" width="6.140625" style="1" customWidth="1"/>
    <col min="9996" max="9996" width="18.140625" style="1" customWidth="1"/>
    <col min="9997" max="9997" width="15.42578125" style="1" customWidth="1"/>
    <col min="9998" max="9998" width="14.42578125" style="1" customWidth="1"/>
    <col min="9999" max="9999" width="19.28515625" style="1" customWidth="1"/>
    <col min="10000" max="10000" width="17.5703125" style="1" customWidth="1"/>
    <col min="10001" max="10001" width="16.28515625" style="1" customWidth="1"/>
    <col min="10002" max="10002" width="15.7109375" style="1" customWidth="1"/>
    <col min="10003" max="10003" width="15.140625" style="1" customWidth="1"/>
    <col min="10004" max="10004" width="17.42578125" style="1" customWidth="1"/>
    <col min="10005" max="10005" width="13.85546875" style="1" customWidth="1"/>
    <col min="10006" max="10006" width="11.85546875" style="1" customWidth="1"/>
    <col min="10007" max="10007" width="11.28515625" style="1" customWidth="1"/>
    <col min="10008" max="10250" width="9.140625" style="1"/>
    <col min="10251" max="10251" width="6.140625" style="1" customWidth="1"/>
    <col min="10252" max="10252" width="18.140625" style="1" customWidth="1"/>
    <col min="10253" max="10253" width="15.42578125" style="1" customWidth="1"/>
    <col min="10254" max="10254" width="14.42578125" style="1" customWidth="1"/>
    <col min="10255" max="10255" width="19.28515625" style="1" customWidth="1"/>
    <col min="10256" max="10256" width="17.5703125" style="1" customWidth="1"/>
    <col min="10257" max="10257" width="16.28515625" style="1" customWidth="1"/>
    <col min="10258" max="10258" width="15.7109375" style="1" customWidth="1"/>
    <col min="10259" max="10259" width="15.140625" style="1" customWidth="1"/>
    <col min="10260" max="10260" width="17.42578125" style="1" customWidth="1"/>
    <col min="10261" max="10261" width="13.85546875" style="1" customWidth="1"/>
    <col min="10262" max="10262" width="11.85546875" style="1" customWidth="1"/>
    <col min="10263" max="10263" width="11.28515625" style="1" customWidth="1"/>
    <col min="10264" max="10506" width="9.140625" style="1"/>
    <col min="10507" max="10507" width="6.140625" style="1" customWidth="1"/>
    <col min="10508" max="10508" width="18.140625" style="1" customWidth="1"/>
    <col min="10509" max="10509" width="15.42578125" style="1" customWidth="1"/>
    <col min="10510" max="10510" width="14.42578125" style="1" customWidth="1"/>
    <col min="10511" max="10511" width="19.28515625" style="1" customWidth="1"/>
    <col min="10512" max="10512" width="17.5703125" style="1" customWidth="1"/>
    <col min="10513" max="10513" width="16.28515625" style="1" customWidth="1"/>
    <col min="10514" max="10514" width="15.7109375" style="1" customWidth="1"/>
    <col min="10515" max="10515" width="15.140625" style="1" customWidth="1"/>
    <col min="10516" max="10516" width="17.42578125" style="1" customWidth="1"/>
    <col min="10517" max="10517" width="13.85546875" style="1" customWidth="1"/>
    <col min="10518" max="10518" width="11.85546875" style="1" customWidth="1"/>
    <col min="10519" max="10519" width="11.28515625" style="1" customWidth="1"/>
    <col min="10520" max="10762" width="9.140625" style="1"/>
    <col min="10763" max="10763" width="6.140625" style="1" customWidth="1"/>
    <col min="10764" max="10764" width="18.140625" style="1" customWidth="1"/>
    <col min="10765" max="10765" width="15.42578125" style="1" customWidth="1"/>
    <col min="10766" max="10766" width="14.42578125" style="1" customWidth="1"/>
    <col min="10767" max="10767" width="19.28515625" style="1" customWidth="1"/>
    <col min="10768" max="10768" width="17.5703125" style="1" customWidth="1"/>
    <col min="10769" max="10769" width="16.28515625" style="1" customWidth="1"/>
    <col min="10770" max="10770" width="15.7109375" style="1" customWidth="1"/>
    <col min="10771" max="10771" width="15.140625" style="1" customWidth="1"/>
    <col min="10772" max="10772" width="17.42578125" style="1" customWidth="1"/>
    <col min="10773" max="10773" width="13.85546875" style="1" customWidth="1"/>
    <col min="10774" max="10774" width="11.85546875" style="1" customWidth="1"/>
    <col min="10775" max="10775" width="11.28515625" style="1" customWidth="1"/>
    <col min="10776" max="11018" width="9.140625" style="1"/>
    <col min="11019" max="11019" width="6.140625" style="1" customWidth="1"/>
    <col min="11020" max="11020" width="18.140625" style="1" customWidth="1"/>
    <col min="11021" max="11021" width="15.42578125" style="1" customWidth="1"/>
    <col min="11022" max="11022" width="14.42578125" style="1" customWidth="1"/>
    <col min="11023" max="11023" width="19.28515625" style="1" customWidth="1"/>
    <col min="11024" max="11024" width="17.5703125" style="1" customWidth="1"/>
    <col min="11025" max="11025" width="16.28515625" style="1" customWidth="1"/>
    <col min="11026" max="11026" width="15.7109375" style="1" customWidth="1"/>
    <col min="11027" max="11027" width="15.140625" style="1" customWidth="1"/>
    <col min="11028" max="11028" width="17.42578125" style="1" customWidth="1"/>
    <col min="11029" max="11029" width="13.85546875" style="1" customWidth="1"/>
    <col min="11030" max="11030" width="11.85546875" style="1" customWidth="1"/>
    <col min="11031" max="11031" width="11.28515625" style="1" customWidth="1"/>
    <col min="11032" max="11274" width="9.140625" style="1"/>
    <col min="11275" max="11275" width="6.140625" style="1" customWidth="1"/>
    <col min="11276" max="11276" width="18.140625" style="1" customWidth="1"/>
    <col min="11277" max="11277" width="15.42578125" style="1" customWidth="1"/>
    <col min="11278" max="11278" width="14.42578125" style="1" customWidth="1"/>
    <col min="11279" max="11279" width="19.28515625" style="1" customWidth="1"/>
    <col min="11280" max="11280" width="17.5703125" style="1" customWidth="1"/>
    <col min="11281" max="11281" width="16.28515625" style="1" customWidth="1"/>
    <col min="11282" max="11282" width="15.7109375" style="1" customWidth="1"/>
    <col min="11283" max="11283" width="15.140625" style="1" customWidth="1"/>
    <col min="11284" max="11284" width="17.42578125" style="1" customWidth="1"/>
    <col min="11285" max="11285" width="13.85546875" style="1" customWidth="1"/>
    <col min="11286" max="11286" width="11.85546875" style="1" customWidth="1"/>
    <col min="11287" max="11287" width="11.28515625" style="1" customWidth="1"/>
    <col min="11288" max="11530" width="9.140625" style="1"/>
    <col min="11531" max="11531" width="6.140625" style="1" customWidth="1"/>
    <col min="11532" max="11532" width="18.140625" style="1" customWidth="1"/>
    <col min="11533" max="11533" width="15.42578125" style="1" customWidth="1"/>
    <col min="11534" max="11534" width="14.42578125" style="1" customWidth="1"/>
    <col min="11535" max="11535" width="19.28515625" style="1" customWidth="1"/>
    <col min="11536" max="11536" width="17.5703125" style="1" customWidth="1"/>
    <col min="11537" max="11537" width="16.28515625" style="1" customWidth="1"/>
    <col min="11538" max="11538" width="15.7109375" style="1" customWidth="1"/>
    <col min="11539" max="11539" width="15.140625" style="1" customWidth="1"/>
    <col min="11540" max="11540" width="17.42578125" style="1" customWidth="1"/>
    <col min="11541" max="11541" width="13.85546875" style="1" customWidth="1"/>
    <col min="11542" max="11542" width="11.85546875" style="1" customWidth="1"/>
    <col min="11543" max="11543" width="11.28515625" style="1" customWidth="1"/>
    <col min="11544" max="11786" width="9.140625" style="1"/>
    <col min="11787" max="11787" width="6.140625" style="1" customWidth="1"/>
    <col min="11788" max="11788" width="18.140625" style="1" customWidth="1"/>
    <col min="11789" max="11789" width="15.42578125" style="1" customWidth="1"/>
    <col min="11790" max="11790" width="14.42578125" style="1" customWidth="1"/>
    <col min="11791" max="11791" width="19.28515625" style="1" customWidth="1"/>
    <col min="11792" max="11792" width="17.5703125" style="1" customWidth="1"/>
    <col min="11793" max="11793" width="16.28515625" style="1" customWidth="1"/>
    <col min="11794" max="11794" width="15.7109375" style="1" customWidth="1"/>
    <col min="11795" max="11795" width="15.140625" style="1" customWidth="1"/>
    <col min="11796" max="11796" width="17.42578125" style="1" customWidth="1"/>
    <col min="11797" max="11797" width="13.85546875" style="1" customWidth="1"/>
    <col min="11798" max="11798" width="11.85546875" style="1" customWidth="1"/>
    <col min="11799" max="11799" width="11.28515625" style="1" customWidth="1"/>
    <col min="11800" max="12042" width="9.140625" style="1"/>
    <col min="12043" max="12043" width="6.140625" style="1" customWidth="1"/>
    <col min="12044" max="12044" width="18.140625" style="1" customWidth="1"/>
    <col min="12045" max="12045" width="15.42578125" style="1" customWidth="1"/>
    <col min="12046" max="12046" width="14.42578125" style="1" customWidth="1"/>
    <col min="12047" max="12047" width="19.28515625" style="1" customWidth="1"/>
    <col min="12048" max="12048" width="17.5703125" style="1" customWidth="1"/>
    <col min="12049" max="12049" width="16.28515625" style="1" customWidth="1"/>
    <col min="12050" max="12050" width="15.7109375" style="1" customWidth="1"/>
    <col min="12051" max="12051" width="15.140625" style="1" customWidth="1"/>
    <col min="12052" max="12052" width="17.42578125" style="1" customWidth="1"/>
    <col min="12053" max="12053" width="13.85546875" style="1" customWidth="1"/>
    <col min="12054" max="12054" width="11.85546875" style="1" customWidth="1"/>
    <col min="12055" max="12055" width="11.28515625" style="1" customWidth="1"/>
    <col min="12056" max="12298" width="9.140625" style="1"/>
    <col min="12299" max="12299" width="6.140625" style="1" customWidth="1"/>
    <col min="12300" max="12300" width="18.140625" style="1" customWidth="1"/>
    <col min="12301" max="12301" width="15.42578125" style="1" customWidth="1"/>
    <col min="12302" max="12302" width="14.42578125" style="1" customWidth="1"/>
    <col min="12303" max="12303" width="19.28515625" style="1" customWidth="1"/>
    <col min="12304" max="12304" width="17.5703125" style="1" customWidth="1"/>
    <col min="12305" max="12305" width="16.28515625" style="1" customWidth="1"/>
    <col min="12306" max="12306" width="15.7109375" style="1" customWidth="1"/>
    <col min="12307" max="12307" width="15.140625" style="1" customWidth="1"/>
    <col min="12308" max="12308" width="17.42578125" style="1" customWidth="1"/>
    <col min="12309" max="12309" width="13.85546875" style="1" customWidth="1"/>
    <col min="12310" max="12310" width="11.85546875" style="1" customWidth="1"/>
    <col min="12311" max="12311" width="11.28515625" style="1" customWidth="1"/>
    <col min="12312" max="12554" width="9.140625" style="1"/>
    <col min="12555" max="12555" width="6.140625" style="1" customWidth="1"/>
    <col min="12556" max="12556" width="18.140625" style="1" customWidth="1"/>
    <col min="12557" max="12557" width="15.42578125" style="1" customWidth="1"/>
    <col min="12558" max="12558" width="14.42578125" style="1" customWidth="1"/>
    <col min="12559" max="12559" width="19.28515625" style="1" customWidth="1"/>
    <col min="12560" max="12560" width="17.5703125" style="1" customWidth="1"/>
    <col min="12561" max="12561" width="16.28515625" style="1" customWidth="1"/>
    <col min="12562" max="12562" width="15.7109375" style="1" customWidth="1"/>
    <col min="12563" max="12563" width="15.140625" style="1" customWidth="1"/>
    <col min="12564" max="12564" width="17.42578125" style="1" customWidth="1"/>
    <col min="12565" max="12565" width="13.85546875" style="1" customWidth="1"/>
    <col min="12566" max="12566" width="11.85546875" style="1" customWidth="1"/>
    <col min="12567" max="12567" width="11.28515625" style="1" customWidth="1"/>
    <col min="12568" max="12810" width="9.140625" style="1"/>
    <col min="12811" max="12811" width="6.140625" style="1" customWidth="1"/>
    <col min="12812" max="12812" width="18.140625" style="1" customWidth="1"/>
    <col min="12813" max="12813" width="15.42578125" style="1" customWidth="1"/>
    <col min="12814" max="12814" width="14.42578125" style="1" customWidth="1"/>
    <col min="12815" max="12815" width="19.28515625" style="1" customWidth="1"/>
    <col min="12816" max="12816" width="17.5703125" style="1" customWidth="1"/>
    <col min="12817" max="12817" width="16.28515625" style="1" customWidth="1"/>
    <col min="12818" max="12818" width="15.7109375" style="1" customWidth="1"/>
    <col min="12819" max="12819" width="15.140625" style="1" customWidth="1"/>
    <col min="12820" max="12820" width="17.42578125" style="1" customWidth="1"/>
    <col min="12821" max="12821" width="13.85546875" style="1" customWidth="1"/>
    <col min="12822" max="12822" width="11.85546875" style="1" customWidth="1"/>
    <col min="12823" max="12823" width="11.28515625" style="1" customWidth="1"/>
    <col min="12824" max="13066" width="9.140625" style="1"/>
    <col min="13067" max="13067" width="6.140625" style="1" customWidth="1"/>
    <col min="13068" max="13068" width="18.140625" style="1" customWidth="1"/>
    <col min="13069" max="13069" width="15.42578125" style="1" customWidth="1"/>
    <col min="13070" max="13070" width="14.42578125" style="1" customWidth="1"/>
    <col min="13071" max="13071" width="19.28515625" style="1" customWidth="1"/>
    <col min="13072" max="13072" width="17.5703125" style="1" customWidth="1"/>
    <col min="13073" max="13073" width="16.28515625" style="1" customWidth="1"/>
    <col min="13074" max="13074" width="15.7109375" style="1" customWidth="1"/>
    <col min="13075" max="13075" width="15.140625" style="1" customWidth="1"/>
    <col min="13076" max="13076" width="17.42578125" style="1" customWidth="1"/>
    <col min="13077" max="13077" width="13.85546875" style="1" customWidth="1"/>
    <col min="13078" max="13078" width="11.85546875" style="1" customWidth="1"/>
    <col min="13079" max="13079" width="11.28515625" style="1" customWidth="1"/>
    <col min="13080" max="13322" width="9.140625" style="1"/>
    <col min="13323" max="13323" width="6.140625" style="1" customWidth="1"/>
    <col min="13324" max="13324" width="18.140625" style="1" customWidth="1"/>
    <col min="13325" max="13325" width="15.42578125" style="1" customWidth="1"/>
    <col min="13326" max="13326" width="14.42578125" style="1" customWidth="1"/>
    <col min="13327" max="13327" width="19.28515625" style="1" customWidth="1"/>
    <col min="13328" max="13328" width="17.5703125" style="1" customWidth="1"/>
    <col min="13329" max="13329" width="16.28515625" style="1" customWidth="1"/>
    <col min="13330" max="13330" width="15.7109375" style="1" customWidth="1"/>
    <col min="13331" max="13331" width="15.140625" style="1" customWidth="1"/>
    <col min="13332" max="13332" width="17.42578125" style="1" customWidth="1"/>
    <col min="13333" max="13333" width="13.85546875" style="1" customWidth="1"/>
    <col min="13334" max="13334" width="11.85546875" style="1" customWidth="1"/>
    <col min="13335" max="13335" width="11.28515625" style="1" customWidth="1"/>
    <col min="13336" max="13578" width="9.140625" style="1"/>
    <col min="13579" max="13579" width="6.140625" style="1" customWidth="1"/>
    <col min="13580" max="13580" width="18.140625" style="1" customWidth="1"/>
    <col min="13581" max="13581" width="15.42578125" style="1" customWidth="1"/>
    <col min="13582" max="13582" width="14.42578125" style="1" customWidth="1"/>
    <col min="13583" max="13583" width="19.28515625" style="1" customWidth="1"/>
    <col min="13584" max="13584" width="17.5703125" style="1" customWidth="1"/>
    <col min="13585" max="13585" width="16.28515625" style="1" customWidth="1"/>
    <col min="13586" max="13586" width="15.7109375" style="1" customWidth="1"/>
    <col min="13587" max="13587" width="15.140625" style="1" customWidth="1"/>
    <col min="13588" max="13588" width="17.42578125" style="1" customWidth="1"/>
    <col min="13589" max="13589" width="13.85546875" style="1" customWidth="1"/>
    <col min="13590" max="13590" width="11.85546875" style="1" customWidth="1"/>
    <col min="13591" max="13591" width="11.28515625" style="1" customWidth="1"/>
    <col min="13592" max="13834" width="9.140625" style="1"/>
    <col min="13835" max="13835" width="6.140625" style="1" customWidth="1"/>
    <col min="13836" max="13836" width="18.140625" style="1" customWidth="1"/>
    <col min="13837" max="13837" width="15.42578125" style="1" customWidth="1"/>
    <col min="13838" max="13838" width="14.42578125" style="1" customWidth="1"/>
    <col min="13839" max="13839" width="19.28515625" style="1" customWidth="1"/>
    <col min="13840" max="13840" width="17.5703125" style="1" customWidth="1"/>
    <col min="13841" max="13841" width="16.28515625" style="1" customWidth="1"/>
    <col min="13842" max="13842" width="15.7109375" style="1" customWidth="1"/>
    <col min="13843" max="13843" width="15.140625" style="1" customWidth="1"/>
    <col min="13844" max="13844" width="17.42578125" style="1" customWidth="1"/>
    <col min="13845" max="13845" width="13.85546875" style="1" customWidth="1"/>
    <col min="13846" max="13846" width="11.85546875" style="1" customWidth="1"/>
    <col min="13847" max="13847" width="11.28515625" style="1" customWidth="1"/>
    <col min="13848" max="14090" width="9.140625" style="1"/>
    <col min="14091" max="14091" width="6.140625" style="1" customWidth="1"/>
    <col min="14092" max="14092" width="18.140625" style="1" customWidth="1"/>
    <col min="14093" max="14093" width="15.42578125" style="1" customWidth="1"/>
    <col min="14094" max="14094" width="14.42578125" style="1" customWidth="1"/>
    <col min="14095" max="14095" width="19.28515625" style="1" customWidth="1"/>
    <col min="14096" max="14096" width="17.5703125" style="1" customWidth="1"/>
    <col min="14097" max="14097" width="16.28515625" style="1" customWidth="1"/>
    <col min="14098" max="14098" width="15.7109375" style="1" customWidth="1"/>
    <col min="14099" max="14099" width="15.140625" style="1" customWidth="1"/>
    <col min="14100" max="14100" width="17.42578125" style="1" customWidth="1"/>
    <col min="14101" max="14101" width="13.85546875" style="1" customWidth="1"/>
    <col min="14102" max="14102" width="11.85546875" style="1" customWidth="1"/>
    <col min="14103" max="14103" width="11.28515625" style="1" customWidth="1"/>
    <col min="14104" max="14346" width="9.140625" style="1"/>
    <col min="14347" max="14347" width="6.140625" style="1" customWidth="1"/>
    <col min="14348" max="14348" width="18.140625" style="1" customWidth="1"/>
    <col min="14349" max="14349" width="15.42578125" style="1" customWidth="1"/>
    <col min="14350" max="14350" width="14.42578125" style="1" customWidth="1"/>
    <col min="14351" max="14351" width="19.28515625" style="1" customWidth="1"/>
    <col min="14352" max="14352" width="17.5703125" style="1" customWidth="1"/>
    <col min="14353" max="14353" width="16.28515625" style="1" customWidth="1"/>
    <col min="14354" max="14354" width="15.7109375" style="1" customWidth="1"/>
    <col min="14355" max="14355" width="15.140625" style="1" customWidth="1"/>
    <col min="14356" max="14356" width="17.42578125" style="1" customWidth="1"/>
    <col min="14357" max="14357" width="13.85546875" style="1" customWidth="1"/>
    <col min="14358" max="14358" width="11.85546875" style="1" customWidth="1"/>
    <col min="14359" max="14359" width="11.28515625" style="1" customWidth="1"/>
    <col min="14360" max="14602" width="9.140625" style="1"/>
    <col min="14603" max="14603" width="6.140625" style="1" customWidth="1"/>
    <col min="14604" max="14604" width="18.140625" style="1" customWidth="1"/>
    <col min="14605" max="14605" width="15.42578125" style="1" customWidth="1"/>
    <col min="14606" max="14606" width="14.42578125" style="1" customWidth="1"/>
    <col min="14607" max="14607" width="19.28515625" style="1" customWidth="1"/>
    <col min="14608" max="14608" width="17.5703125" style="1" customWidth="1"/>
    <col min="14609" max="14609" width="16.28515625" style="1" customWidth="1"/>
    <col min="14610" max="14610" width="15.7109375" style="1" customWidth="1"/>
    <col min="14611" max="14611" width="15.140625" style="1" customWidth="1"/>
    <col min="14612" max="14612" width="17.42578125" style="1" customWidth="1"/>
    <col min="14613" max="14613" width="13.85546875" style="1" customWidth="1"/>
    <col min="14614" max="14614" width="11.85546875" style="1" customWidth="1"/>
    <col min="14615" max="14615" width="11.28515625" style="1" customWidth="1"/>
    <col min="14616" max="14858" width="9.140625" style="1"/>
    <col min="14859" max="14859" width="6.140625" style="1" customWidth="1"/>
    <col min="14860" max="14860" width="18.140625" style="1" customWidth="1"/>
    <col min="14861" max="14861" width="15.42578125" style="1" customWidth="1"/>
    <col min="14862" max="14862" width="14.42578125" style="1" customWidth="1"/>
    <col min="14863" max="14863" width="19.28515625" style="1" customWidth="1"/>
    <col min="14864" max="14864" width="17.5703125" style="1" customWidth="1"/>
    <col min="14865" max="14865" width="16.28515625" style="1" customWidth="1"/>
    <col min="14866" max="14866" width="15.7109375" style="1" customWidth="1"/>
    <col min="14867" max="14867" width="15.140625" style="1" customWidth="1"/>
    <col min="14868" max="14868" width="17.42578125" style="1" customWidth="1"/>
    <col min="14869" max="14869" width="13.85546875" style="1" customWidth="1"/>
    <col min="14870" max="14870" width="11.85546875" style="1" customWidth="1"/>
    <col min="14871" max="14871" width="11.28515625" style="1" customWidth="1"/>
    <col min="14872" max="15114" width="9.140625" style="1"/>
    <col min="15115" max="15115" width="6.140625" style="1" customWidth="1"/>
    <col min="15116" max="15116" width="18.140625" style="1" customWidth="1"/>
    <col min="15117" max="15117" width="15.42578125" style="1" customWidth="1"/>
    <col min="15118" max="15118" width="14.42578125" style="1" customWidth="1"/>
    <col min="15119" max="15119" width="19.28515625" style="1" customWidth="1"/>
    <col min="15120" max="15120" width="17.5703125" style="1" customWidth="1"/>
    <col min="15121" max="15121" width="16.28515625" style="1" customWidth="1"/>
    <col min="15122" max="15122" width="15.7109375" style="1" customWidth="1"/>
    <col min="15123" max="15123" width="15.140625" style="1" customWidth="1"/>
    <col min="15124" max="15124" width="17.42578125" style="1" customWidth="1"/>
    <col min="15125" max="15125" width="13.85546875" style="1" customWidth="1"/>
    <col min="15126" max="15126" width="11.85546875" style="1" customWidth="1"/>
    <col min="15127" max="15127" width="11.28515625" style="1" customWidth="1"/>
    <col min="15128" max="15370" width="9.140625" style="1"/>
    <col min="15371" max="15371" width="6.140625" style="1" customWidth="1"/>
    <col min="15372" max="15372" width="18.140625" style="1" customWidth="1"/>
    <col min="15373" max="15373" width="15.42578125" style="1" customWidth="1"/>
    <col min="15374" max="15374" width="14.42578125" style="1" customWidth="1"/>
    <col min="15375" max="15375" width="19.28515625" style="1" customWidth="1"/>
    <col min="15376" max="15376" width="17.5703125" style="1" customWidth="1"/>
    <col min="15377" max="15377" width="16.28515625" style="1" customWidth="1"/>
    <col min="15378" max="15378" width="15.7109375" style="1" customWidth="1"/>
    <col min="15379" max="15379" width="15.140625" style="1" customWidth="1"/>
    <col min="15380" max="15380" width="17.42578125" style="1" customWidth="1"/>
    <col min="15381" max="15381" width="13.85546875" style="1" customWidth="1"/>
    <col min="15382" max="15382" width="11.85546875" style="1" customWidth="1"/>
    <col min="15383" max="15383" width="11.28515625" style="1" customWidth="1"/>
    <col min="15384" max="15626" width="9.140625" style="1"/>
    <col min="15627" max="15627" width="6.140625" style="1" customWidth="1"/>
    <col min="15628" max="15628" width="18.140625" style="1" customWidth="1"/>
    <col min="15629" max="15629" width="15.42578125" style="1" customWidth="1"/>
    <col min="15630" max="15630" width="14.42578125" style="1" customWidth="1"/>
    <col min="15631" max="15631" width="19.28515625" style="1" customWidth="1"/>
    <col min="15632" max="15632" width="17.5703125" style="1" customWidth="1"/>
    <col min="15633" max="15633" width="16.28515625" style="1" customWidth="1"/>
    <col min="15634" max="15634" width="15.7109375" style="1" customWidth="1"/>
    <col min="15635" max="15635" width="15.140625" style="1" customWidth="1"/>
    <col min="15636" max="15636" width="17.42578125" style="1" customWidth="1"/>
    <col min="15637" max="15637" width="13.85546875" style="1" customWidth="1"/>
    <col min="15638" max="15638" width="11.85546875" style="1" customWidth="1"/>
    <col min="15639" max="15639" width="11.28515625" style="1" customWidth="1"/>
    <col min="15640" max="15882" width="9.140625" style="1"/>
    <col min="15883" max="15883" width="6.140625" style="1" customWidth="1"/>
    <col min="15884" max="15884" width="18.140625" style="1" customWidth="1"/>
    <col min="15885" max="15885" width="15.42578125" style="1" customWidth="1"/>
    <col min="15886" max="15886" width="14.42578125" style="1" customWidth="1"/>
    <col min="15887" max="15887" width="19.28515625" style="1" customWidth="1"/>
    <col min="15888" max="15888" width="17.5703125" style="1" customWidth="1"/>
    <col min="15889" max="15889" width="16.28515625" style="1" customWidth="1"/>
    <col min="15890" max="15890" width="15.7109375" style="1" customWidth="1"/>
    <col min="15891" max="15891" width="15.140625" style="1" customWidth="1"/>
    <col min="15892" max="15892" width="17.42578125" style="1" customWidth="1"/>
    <col min="15893" max="15893" width="13.85546875" style="1" customWidth="1"/>
    <col min="15894" max="15894" width="11.85546875" style="1" customWidth="1"/>
    <col min="15895" max="15895" width="11.28515625" style="1" customWidth="1"/>
    <col min="15896" max="16138" width="9.140625" style="1"/>
    <col min="16139" max="16139" width="6.140625" style="1" customWidth="1"/>
    <col min="16140" max="16140" width="18.140625" style="1" customWidth="1"/>
    <col min="16141" max="16141" width="15.42578125" style="1" customWidth="1"/>
    <col min="16142" max="16142" width="14.42578125" style="1" customWidth="1"/>
    <col min="16143" max="16143" width="19.28515625" style="1" customWidth="1"/>
    <col min="16144" max="16144" width="17.5703125" style="1" customWidth="1"/>
    <col min="16145" max="16145" width="16.28515625" style="1" customWidth="1"/>
    <col min="16146" max="16146" width="15.7109375" style="1" customWidth="1"/>
    <col min="16147" max="16147" width="15.140625" style="1" customWidth="1"/>
    <col min="16148" max="16148" width="17.42578125" style="1" customWidth="1"/>
    <col min="16149" max="16149" width="13.85546875" style="1" customWidth="1"/>
    <col min="16150" max="16150" width="11.85546875" style="1" customWidth="1"/>
    <col min="16151" max="16151" width="11.28515625" style="1" customWidth="1"/>
    <col min="16152" max="16384" width="9.140625" style="1"/>
  </cols>
  <sheetData>
    <row r="1" spans="1:32" x14ac:dyDescent="0.2">
      <c r="V1" s="661" t="s">
        <v>121</v>
      </c>
      <c r="W1" s="661"/>
    </row>
    <row r="2" spans="1:32" ht="19.5" customHeight="1" x14ac:dyDescent="0.2">
      <c r="A2" s="662" t="s">
        <v>157</v>
      </c>
      <c r="B2" s="662"/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  <c r="Q2" s="662"/>
      <c r="R2" s="662"/>
      <c r="S2" s="662"/>
      <c r="T2" s="662"/>
      <c r="U2" s="662"/>
      <c r="V2" s="662"/>
      <c r="W2" s="662"/>
    </row>
    <row r="3" spans="1:32" ht="19.5" customHeight="1" x14ac:dyDescent="0.2">
      <c r="A3" s="663" t="s">
        <v>122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157"/>
      <c r="M3" s="124"/>
      <c r="N3" s="124"/>
      <c r="O3" s="124"/>
      <c r="P3" s="124"/>
      <c r="Q3" s="124"/>
      <c r="R3" s="124"/>
      <c r="S3" s="124"/>
      <c r="T3" s="124"/>
      <c r="U3" s="8"/>
      <c r="V3" s="8"/>
    </row>
    <row r="4" spans="1:32" ht="36.75" customHeight="1" x14ac:dyDescent="0.2">
      <c r="A4" s="664" t="s">
        <v>123</v>
      </c>
      <c r="B4" s="664" t="s">
        <v>124</v>
      </c>
      <c r="C4" s="666" t="s">
        <v>160</v>
      </c>
      <c r="D4" s="667" t="s">
        <v>161</v>
      </c>
      <c r="E4" s="667" t="s">
        <v>162</v>
      </c>
      <c r="F4" s="668" t="s">
        <v>125</v>
      </c>
      <c r="G4" s="670"/>
      <c r="H4" s="683" t="s">
        <v>166</v>
      </c>
      <c r="I4" s="667" t="s">
        <v>171</v>
      </c>
      <c r="J4" s="668" t="s">
        <v>125</v>
      </c>
      <c r="K4" s="669"/>
      <c r="L4" s="669"/>
      <c r="M4" s="670"/>
      <c r="N4" s="666" t="s">
        <v>167</v>
      </c>
      <c r="O4" s="668" t="s">
        <v>125</v>
      </c>
      <c r="P4" s="669"/>
      <c r="Q4" s="669"/>
      <c r="R4" s="670"/>
      <c r="S4" s="666" t="s">
        <v>126</v>
      </c>
      <c r="T4" s="667" t="s">
        <v>168</v>
      </c>
      <c r="U4" s="680" t="s">
        <v>125</v>
      </c>
      <c r="V4" s="680"/>
      <c r="W4" s="680"/>
      <c r="X4" s="680"/>
      <c r="Y4" s="667" t="s">
        <v>169</v>
      </c>
      <c r="Z4" s="680" t="s">
        <v>125</v>
      </c>
      <c r="AA4" s="680"/>
      <c r="AB4" s="680"/>
      <c r="AC4" s="680"/>
    </row>
    <row r="5" spans="1:32" ht="96.75" customHeight="1" x14ac:dyDescent="0.2">
      <c r="A5" s="665"/>
      <c r="B5" s="665"/>
      <c r="C5" s="666"/>
      <c r="D5" s="667"/>
      <c r="E5" s="667"/>
      <c r="F5" s="11" t="s">
        <v>164</v>
      </c>
      <c r="G5" s="11" t="s">
        <v>165</v>
      </c>
      <c r="H5" s="684"/>
      <c r="I5" s="667"/>
      <c r="J5" s="11" t="s">
        <v>127</v>
      </c>
      <c r="K5" s="11" t="s">
        <v>128</v>
      </c>
      <c r="L5" s="11" t="s">
        <v>163</v>
      </c>
      <c r="M5" s="11" t="s">
        <v>129</v>
      </c>
      <c r="N5" s="666"/>
      <c r="O5" s="11" t="s">
        <v>127</v>
      </c>
      <c r="P5" s="11" t="s">
        <v>128</v>
      </c>
      <c r="Q5" s="11" t="s">
        <v>163</v>
      </c>
      <c r="R5" s="11" t="s">
        <v>129</v>
      </c>
      <c r="S5" s="666"/>
      <c r="T5" s="667"/>
      <c r="U5" s="11" t="s">
        <v>130</v>
      </c>
      <c r="V5" s="11" t="s">
        <v>131</v>
      </c>
      <c r="W5" s="11" t="s">
        <v>132</v>
      </c>
      <c r="X5" s="11" t="s">
        <v>163</v>
      </c>
      <c r="Y5" s="667"/>
      <c r="Z5" s="11" t="s">
        <v>170</v>
      </c>
      <c r="AA5" s="11" t="s">
        <v>131</v>
      </c>
      <c r="AB5" s="11" t="s">
        <v>132</v>
      </c>
      <c r="AC5" s="11" t="s">
        <v>163</v>
      </c>
    </row>
    <row r="6" spans="1:32" ht="17.25" customHeight="1" x14ac:dyDescent="0.2">
      <c r="A6" s="125" t="s">
        <v>52</v>
      </c>
      <c r="B6" s="674" t="s">
        <v>158</v>
      </c>
      <c r="C6" s="675"/>
      <c r="D6" s="675"/>
      <c r="E6" s="675"/>
      <c r="F6" s="675"/>
      <c r="G6" s="675"/>
      <c r="H6" s="675"/>
      <c r="I6" s="675"/>
      <c r="J6" s="675"/>
      <c r="K6" s="675"/>
      <c r="L6" s="675"/>
      <c r="M6" s="675"/>
      <c r="N6" s="675"/>
      <c r="O6" s="675"/>
      <c r="P6" s="675"/>
      <c r="Q6" s="675"/>
      <c r="R6" s="675"/>
      <c r="S6" s="675"/>
      <c r="T6" s="676"/>
      <c r="U6" s="47"/>
      <c r="V6" s="47"/>
      <c r="W6" s="47"/>
      <c r="X6" s="47"/>
      <c r="Y6" s="47"/>
      <c r="Z6" s="47"/>
      <c r="AA6" s="47"/>
      <c r="AB6" s="47"/>
      <c r="AC6" s="47"/>
    </row>
    <row r="7" spans="1:32" ht="16.5" customHeight="1" x14ac:dyDescent="0.2">
      <c r="A7" s="126" t="s">
        <v>133</v>
      </c>
      <c r="B7" s="165" t="s">
        <v>134</v>
      </c>
      <c r="C7" s="166">
        <f>F7+G7</f>
        <v>415</v>
      </c>
      <c r="D7" s="126">
        <f>C7</f>
        <v>415</v>
      </c>
      <c r="E7" s="126"/>
      <c r="F7" s="126">
        <f>'прил к эксп 3'!N10</f>
        <v>241.5</v>
      </c>
      <c r="G7" s="126">
        <f>'прил к эксп 3'!P10</f>
        <v>173.5</v>
      </c>
      <c r="H7" s="127">
        <f>(I7*F7+N7*G7)/C7</f>
        <v>1042.1279999999999</v>
      </c>
      <c r="I7" s="126">
        <f>T7/F7</f>
        <v>1023.39</v>
      </c>
      <c r="J7" s="128">
        <f>'прил к эксп 3'!N12</f>
        <v>817.28</v>
      </c>
      <c r="K7" s="128">
        <f>'прил к эксп 3'!N13</f>
        <v>206.11</v>
      </c>
      <c r="L7" s="128"/>
      <c r="M7" s="126"/>
      <c r="N7" s="126">
        <f>Y7/G7</f>
        <v>1068.21</v>
      </c>
      <c r="O7" s="126">
        <f>'прил к эксп 3'!P12</f>
        <v>854.06</v>
      </c>
      <c r="P7" s="126">
        <f>'прил к эксп 3'!P13</f>
        <v>214.15</v>
      </c>
      <c r="Q7" s="126"/>
      <c r="R7" s="126"/>
      <c r="S7" s="126">
        <f>T7+Y7</f>
        <v>432483.12</v>
      </c>
      <c r="T7" s="127">
        <f>U7+V7+W7+X7</f>
        <v>247148.685</v>
      </c>
      <c r="U7" s="127">
        <f>J7*F7</f>
        <v>197373.12</v>
      </c>
      <c r="V7" s="127">
        <f>K7*F7</f>
        <v>49775.565000000002</v>
      </c>
      <c r="W7" s="167"/>
      <c r="X7" s="161"/>
      <c r="Y7" s="161">
        <f>Z7+AA7+AB7+AC7</f>
        <v>185334.435</v>
      </c>
      <c r="Z7" s="161">
        <f>O7*G7</f>
        <v>148179.41</v>
      </c>
      <c r="AA7" s="161">
        <f>P7*G7</f>
        <v>37155.025000000001</v>
      </c>
      <c r="AB7" s="161"/>
      <c r="AC7" s="161"/>
    </row>
    <row r="8" spans="1:32" ht="15" customHeight="1" x14ac:dyDescent="0.2">
      <c r="A8" s="126" t="s">
        <v>135</v>
      </c>
      <c r="B8" s="165" t="s">
        <v>18</v>
      </c>
      <c r="C8" s="166">
        <f>F8+G8</f>
        <v>415</v>
      </c>
      <c r="D8" s="126">
        <f>D7</f>
        <v>415</v>
      </c>
      <c r="E8" s="126"/>
      <c r="F8" s="126">
        <f>F7</f>
        <v>241.5</v>
      </c>
      <c r="G8" s="126">
        <f>G7</f>
        <v>173.5</v>
      </c>
      <c r="H8" s="127">
        <f>(I8*F8+N8*G8)/C8</f>
        <v>1229.7110399999999</v>
      </c>
      <c r="I8" s="126">
        <f>T8/F8</f>
        <v>1207.6001999999999</v>
      </c>
      <c r="J8" s="126">
        <f>J7*'МОЙ РАСЧЕТ'!O2</f>
        <v>964.39039999999989</v>
      </c>
      <c r="K8" s="126">
        <f>K7*'МОЙ РАСЧЕТ'!O2</f>
        <v>243.2098</v>
      </c>
      <c r="L8" s="126"/>
      <c r="M8" s="126"/>
      <c r="N8" s="126">
        <f>Y8/G8</f>
        <v>1260.4877999999999</v>
      </c>
      <c r="O8" s="126">
        <f>O7*'МОЙ РАСЧЕТ'!O2</f>
        <v>1007.7907999999999</v>
      </c>
      <c r="P8" s="126">
        <f>P7*'МОЙ РАСЧЕТ'!O2</f>
        <v>252.697</v>
      </c>
      <c r="Q8" s="126"/>
      <c r="R8" s="126"/>
      <c r="S8" s="126">
        <f>T8+Y8</f>
        <v>510330.08159999998</v>
      </c>
      <c r="T8" s="126">
        <f>U8+V8+W8+X8</f>
        <v>291635.44829999999</v>
      </c>
      <c r="U8" s="126">
        <f>U7*'МОЙ РАСЧЕТ'!O2</f>
        <v>232900.28159999999</v>
      </c>
      <c r="V8" s="126">
        <f>V7*'МОЙ РАСЧЕТ'!O2</f>
        <v>58735.166700000002</v>
      </c>
      <c r="W8" s="167"/>
      <c r="X8" s="161"/>
      <c r="Y8" s="161">
        <f>Z8+AA8+AB8+AC8</f>
        <v>218694.63329999999</v>
      </c>
      <c r="Z8" s="161">
        <f>Z7*'МОЙ РАСЧЕТ'!O2</f>
        <v>174851.70379999999</v>
      </c>
      <c r="AA8" s="161">
        <f>AA7*'МОЙ РАСЧЕТ'!O2</f>
        <v>43842.929499999998</v>
      </c>
      <c r="AB8" s="161"/>
      <c r="AC8" s="161"/>
      <c r="AD8" s="1">
        <f>Y7*'МОЙ РАСЧЕТ'!O2</f>
        <v>218694.63329999999</v>
      </c>
      <c r="AE8" s="1">
        <f>T7*'МОЙ РАСЧЕТ'!O2</f>
        <v>291635.44829999999</v>
      </c>
      <c r="AF8" s="1">
        <f>S7*'МОЙ РАСЧЕТ'!O2</f>
        <v>510330.08159999998</v>
      </c>
    </row>
    <row r="9" spans="1:32" ht="0.75" customHeight="1" x14ac:dyDescent="0.2">
      <c r="A9" s="677" t="s">
        <v>136</v>
      </c>
      <c r="B9" s="678"/>
      <c r="C9" s="678"/>
      <c r="D9" s="678"/>
      <c r="E9" s="678"/>
      <c r="F9" s="678"/>
      <c r="G9" s="678"/>
      <c r="H9" s="678"/>
      <c r="I9" s="678"/>
      <c r="J9" s="678"/>
      <c r="K9" s="678"/>
      <c r="L9" s="678"/>
      <c r="M9" s="678"/>
      <c r="N9" s="678"/>
      <c r="O9" s="678"/>
      <c r="P9" s="678"/>
      <c r="Q9" s="678"/>
      <c r="R9" s="678"/>
      <c r="S9" s="678"/>
      <c r="T9" s="679"/>
      <c r="U9" s="126"/>
      <c r="V9" s="126"/>
      <c r="W9" s="161"/>
      <c r="X9" s="161"/>
      <c r="Y9" s="161"/>
      <c r="Z9" s="161"/>
      <c r="AA9" s="161"/>
      <c r="AB9" s="161"/>
      <c r="AC9" s="161"/>
    </row>
    <row r="10" spans="1:32" ht="16.5" hidden="1" customHeight="1" x14ac:dyDescent="0.2">
      <c r="A10" s="126" t="s">
        <v>137</v>
      </c>
      <c r="B10" s="165" t="s">
        <v>134</v>
      </c>
      <c r="C10" s="166"/>
      <c r="D10" s="126"/>
      <c r="E10" s="127"/>
      <c r="F10" s="127"/>
      <c r="G10" s="127"/>
      <c r="H10" s="127"/>
      <c r="I10" s="127"/>
      <c r="J10" s="128"/>
      <c r="K10" s="126"/>
      <c r="L10" s="126"/>
      <c r="M10" s="126"/>
      <c r="N10" s="126"/>
      <c r="O10" s="126"/>
      <c r="P10" s="126"/>
      <c r="Q10" s="126"/>
      <c r="R10" s="126"/>
      <c r="S10" s="126"/>
      <c r="T10" s="127"/>
      <c r="U10" s="127"/>
      <c r="V10" s="127"/>
      <c r="W10" s="126"/>
      <c r="X10" s="161"/>
      <c r="Y10" s="161"/>
      <c r="Z10" s="161"/>
      <c r="AA10" s="161"/>
      <c r="AB10" s="161"/>
      <c r="AC10" s="161"/>
    </row>
    <row r="11" spans="1:32" ht="16.5" hidden="1" customHeight="1" x14ac:dyDescent="0.2">
      <c r="A11" s="126" t="s">
        <v>138</v>
      </c>
      <c r="B11" s="165" t="s">
        <v>18</v>
      </c>
      <c r="C11" s="168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67"/>
      <c r="X11" s="161"/>
      <c r="Y11" s="161"/>
      <c r="Z11" s="161"/>
      <c r="AA11" s="161"/>
      <c r="AB11" s="161"/>
      <c r="AC11" s="161"/>
    </row>
    <row r="12" spans="1:32" ht="15" hidden="1" customHeight="1" x14ac:dyDescent="0.2">
      <c r="A12" s="127"/>
      <c r="B12" s="677" t="s">
        <v>139</v>
      </c>
      <c r="C12" s="678"/>
      <c r="D12" s="678"/>
      <c r="E12" s="678"/>
      <c r="F12" s="678"/>
      <c r="G12" s="678"/>
      <c r="H12" s="678"/>
      <c r="I12" s="678"/>
      <c r="J12" s="678"/>
      <c r="K12" s="678"/>
      <c r="L12" s="678"/>
      <c r="M12" s="678"/>
      <c r="N12" s="678"/>
      <c r="O12" s="678"/>
      <c r="P12" s="678"/>
      <c r="Q12" s="678"/>
      <c r="R12" s="678"/>
      <c r="S12" s="678"/>
      <c r="T12" s="679"/>
      <c r="U12" s="126"/>
      <c r="V12" s="126"/>
      <c r="W12" s="161"/>
      <c r="X12" s="161"/>
      <c r="Y12" s="161"/>
      <c r="Z12" s="161"/>
      <c r="AA12" s="161"/>
      <c r="AB12" s="161"/>
      <c r="AC12" s="161"/>
    </row>
    <row r="13" spans="1:32" ht="17.25" hidden="1" customHeight="1" x14ac:dyDescent="0.2">
      <c r="A13" s="126" t="s">
        <v>140</v>
      </c>
      <c r="B13" s="165" t="s">
        <v>134</v>
      </c>
      <c r="C13" s="166"/>
      <c r="D13" s="126"/>
      <c r="E13" s="127"/>
      <c r="F13" s="127"/>
      <c r="G13" s="127"/>
      <c r="H13" s="127"/>
      <c r="I13" s="127"/>
      <c r="J13" s="128"/>
      <c r="K13" s="126"/>
      <c r="L13" s="126"/>
      <c r="M13" s="126"/>
      <c r="N13" s="126"/>
      <c r="O13" s="126"/>
      <c r="P13" s="126"/>
      <c r="Q13" s="126"/>
      <c r="R13" s="126"/>
      <c r="S13" s="126"/>
      <c r="T13" s="127"/>
      <c r="U13" s="127"/>
      <c r="V13" s="127"/>
      <c r="W13" s="161"/>
      <c r="X13" s="161"/>
      <c r="Y13" s="161"/>
      <c r="Z13" s="161"/>
      <c r="AA13" s="161"/>
      <c r="AB13" s="161"/>
      <c r="AC13" s="161"/>
    </row>
    <row r="14" spans="1:32" ht="17.25" hidden="1" customHeight="1" x14ac:dyDescent="0.2">
      <c r="A14" s="126" t="s">
        <v>141</v>
      </c>
      <c r="B14" s="165" t="s">
        <v>18</v>
      </c>
      <c r="C14" s="168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61"/>
      <c r="X14" s="161"/>
      <c r="Y14" s="161"/>
      <c r="Z14" s="161"/>
      <c r="AA14" s="161"/>
      <c r="AB14" s="161"/>
      <c r="AC14" s="161"/>
    </row>
    <row r="15" spans="1:32" ht="15.75" hidden="1" customHeight="1" x14ac:dyDescent="0.2">
      <c r="A15" s="127"/>
      <c r="B15" s="677" t="s">
        <v>142</v>
      </c>
      <c r="C15" s="678"/>
      <c r="D15" s="678"/>
      <c r="E15" s="678"/>
      <c r="F15" s="678"/>
      <c r="G15" s="678"/>
      <c r="H15" s="678"/>
      <c r="I15" s="678"/>
      <c r="J15" s="678"/>
      <c r="K15" s="678"/>
      <c r="L15" s="678"/>
      <c r="M15" s="678"/>
      <c r="N15" s="678"/>
      <c r="O15" s="678"/>
      <c r="P15" s="678"/>
      <c r="Q15" s="678"/>
      <c r="R15" s="678"/>
      <c r="S15" s="678"/>
      <c r="T15" s="679"/>
      <c r="U15" s="126"/>
      <c r="V15" s="126"/>
      <c r="W15" s="161"/>
      <c r="X15" s="161"/>
      <c r="Y15" s="161"/>
      <c r="Z15" s="161"/>
      <c r="AA15" s="161"/>
      <c r="AB15" s="161"/>
      <c r="AC15" s="161"/>
    </row>
    <row r="16" spans="1:32" ht="15" hidden="1" customHeight="1" x14ac:dyDescent="0.2">
      <c r="A16" s="126" t="s">
        <v>143</v>
      </c>
      <c r="B16" s="165" t="s">
        <v>134</v>
      </c>
      <c r="C16" s="166"/>
      <c r="D16" s="126"/>
      <c r="E16" s="126"/>
      <c r="F16" s="126"/>
      <c r="G16" s="126"/>
      <c r="H16" s="126"/>
      <c r="I16" s="127"/>
      <c r="J16" s="128"/>
      <c r="K16" s="126"/>
      <c r="L16" s="126"/>
      <c r="M16" s="126"/>
      <c r="N16" s="126"/>
      <c r="O16" s="126"/>
      <c r="P16" s="126"/>
      <c r="Q16" s="126"/>
      <c r="R16" s="126"/>
      <c r="S16" s="126"/>
      <c r="T16" s="127"/>
      <c r="U16" s="127"/>
      <c r="V16" s="127"/>
      <c r="W16" s="126"/>
      <c r="X16" s="161"/>
      <c r="Y16" s="161"/>
      <c r="Z16" s="161"/>
      <c r="AA16" s="161"/>
      <c r="AB16" s="161"/>
      <c r="AC16" s="161"/>
    </row>
    <row r="17" spans="1:29" ht="17.25" hidden="1" customHeight="1" x14ac:dyDescent="0.2">
      <c r="A17" s="126" t="s">
        <v>144</v>
      </c>
      <c r="B17" s="165" t="s">
        <v>18</v>
      </c>
      <c r="C17" s="168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67"/>
      <c r="X17" s="161"/>
      <c r="Y17" s="161"/>
      <c r="Z17" s="161"/>
      <c r="AA17" s="161"/>
      <c r="AB17" s="161"/>
      <c r="AC17" s="161"/>
    </row>
    <row r="18" spans="1:29" ht="15" customHeight="1" x14ac:dyDescent="0.2">
      <c r="A18" s="127" t="s">
        <v>55</v>
      </c>
      <c r="B18" s="685" t="s">
        <v>145</v>
      </c>
      <c r="C18" s="686"/>
      <c r="D18" s="686"/>
      <c r="E18" s="686"/>
      <c r="F18" s="686"/>
      <c r="G18" s="686"/>
      <c r="H18" s="686"/>
      <c r="I18" s="686"/>
      <c r="J18" s="686"/>
      <c r="K18" s="686"/>
      <c r="L18" s="686"/>
      <c r="M18" s="686"/>
      <c r="N18" s="686"/>
      <c r="O18" s="686"/>
      <c r="P18" s="686"/>
      <c r="Q18" s="686"/>
      <c r="R18" s="686"/>
      <c r="S18" s="686"/>
      <c r="T18" s="687"/>
      <c r="U18" s="126"/>
      <c r="V18" s="126"/>
      <c r="W18" s="161"/>
      <c r="X18" s="161"/>
      <c r="Y18" s="161"/>
      <c r="Z18" s="161"/>
      <c r="AA18" s="161"/>
      <c r="AB18" s="161"/>
      <c r="AC18" s="161"/>
    </row>
    <row r="19" spans="1:29" ht="18.75" customHeight="1" x14ac:dyDescent="0.2">
      <c r="A19" s="126" t="s">
        <v>137</v>
      </c>
      <c r="B19" s="165" t="s">
        <v>134</v>
      </c>
      <c r="C19" s="160">
        <f>C7</f>
        <v>415</v>
      </c>
      <c r="D19" s="160">
        <f t="shared" ref="D19:AC19" si="0">D7</f>
        <v>415</v>
      </c>
      <c r="E19" s="160">
        <f t="shared" si="0"/>
        <v>0</v>
      </c>
      <c r="F19" s="160">
        <f t="shared" si="0"/>
        <v>241.5</v>
      </c>
      <c r="G19" s="160">
        <f t="shared" si="0"/>
        <v>173.5</v>
      </c>
      <c r="H19" s="160">
        <f t="shared" si="0"/>
        <v>1042.1279999999999</v>
      </c>
      <c r="I19" s="160">
        <f t="shared" si="0"/>
        <v>1023.39</v>
      </c>
      <c r="J19" s="160">
        <f t="shared" si="0"/>
        <v>817.28</v>
      </c>
      <c r="K19" s="160">
        <f t="shared" si="0"/>
        <v>206.11</v>
      </c>
      <c r="L19" s="160">
        <f t="shared" si="0"/>
        <v>0</v>
      </c>
      <c r="M19" s="160">
        <f t="shared" si="0"/>
        <v>0</v>
      </c>
      <c r="N19" s="160">
        <f t="shared" si="0"/>
        <v>1068.21</v>
      </c>
      <c r="O19" s="160">
        <f t="shared" si="0"/>
        <v>854.06</v>
      </c>
      <c r="P19" s="160">
        <f t="shared" si="0"/>
        <v>214.15</v>
      </c>
      <c r="Q19" s="160">
        <f t="shared" si="0"/>
        <v>0</v>
      </c>
      <c r="R19" s="160">
        <f t="shared" si="0"/>
        <v>0</v>
      </c>
      <c r="S19" s="160">
        <f t="shared" si="0"/>
        <v>432483.12</v>
      </c>
      <c r="T19" s="160">
        <f t="shared" si="0"/>
        <v>247148.685</v>
      </c>
      <c r="U19" s="160">
        <f t="shared" si="0"/>
        <v>197373.12</v>
      </c>
      <c r="V19" s="160">
        <f t="shared" si="0"/>
        <v>49775.565000000002</v>
      </c>
      <c r="W19" s="160">
        <f t="shared" si="0"/>
        <v>0</v>
      </c>
      <c r="X19" s="160">
        <f t="shared" si="0"/>
        <v>0</v>
      </c>
      <c r="Y19" s="160">
        <f t="shared" si="0"/>
        <v>185334.435</v>
      </c>
      <c r="Z19" s="160">
        <f t="shared" si="0"/>
        <v>148179.41</v>
      </c>
      <c r="AA19" s="160">
        <f t="shared" si="0"/>
        <v>37155.025000000001</v>
      </c>
      <c r="AB19" s="160">
        <f t="shared" si="0"/>
        <v>0</v>
      </c>
      <c r="AC19" s="160">
        <f t="shared" si="0"/>
        <v>0</v>
      </c>
    </row>
    <row r="20" spans="1:29" ht="14.25" customHeight="1" x14ac:dyDescent="0.2">
      <c r="A20" s="126" t="s">
        <v>138</v>
      </c>
      <c r="B20" s="165" t="s">
        <v>18</v>
      </c>
      <c r="C20" s="160">
        <f>C8</f>
        <v>415</v>
      </c>
      <c r="D20" s="160">
        <f t="shared" ref="D20:AC20" si="1">D8</f>
        <v>415</v>
      </c>
      <c r="E20" s="160">
        <f t="shared" si="1"/>
        <v>0</v>
      </c>
      <c r="F20" s="160">
        <f t="shared" si="1"/>
        <v>241.5</v>
      </c>
      <c r="G20" s="160">
        <f t="shared" si="1"/>
        <v>173.5</v>
      </c>
      <c r="H20" s="160">
        <f t="shared" si="1"/>
        <v>1229.7110399999999</v>
      </c>
      <c r="I20" s="160">
        <f t="shared" si="1"/>
        <v>1207.6001999999999</v>
      </c>
      <c r="J20" s="160">
        <f t="shared" si="1"/>
        <v>964.39039999999989</v>
      </c>
      <c r="K20" s="160">
        <f t="shared" si="1"/>
        <v>243.2098</v>
      </c>
      <c r="L20" s="160">
        <f t="shared" si="1"/>
        <v>0</v>
      </c>
      <c r="M20" s="160">
        <f t="shared" si="1"/>
        <v>0</v>
      </c>
      <c r="N20" s="160">
        <f t="shared" si="1"/>
        <v>1260.4877999999999</v>
      </c>
      <c r="O20" s="160">
        <f t="shared" si="1"/>
        <v>1007.7907999999999</v>
      </c>
      <c r="P20" s="160">
        <f t="shared" si="1"/>
        <v>252.697</v>
      </c>
      <c r="Q20" s="160">
        <f t="shared" si="1"/>
        <v>0</v>
      </c>
      <c r="R20" s="160">
        <f t="shared" si="1"/>
        <v>0</v>
      </c>
      <c r="S20" s="160">
        <f t="shared" si="1"/>
        <v>510330.08159999998</v>
      </c>
      <c r="T20" s="160">
        <f t="shared" si="1"/>
        <v>291635.44829999999</v>
      </c>
      <c r="U20" s="160">
        <f t="shared" si="1"/>
        <v>232900.28159999999</v>
      </c>
      <c r="V20" s="160">
        <f t="shared" si="1"/>
        <v>58735.166700000002</v>
      </c>
      <c r="W20" s="160">
        <f t="shared" si="1"/>
        <v>0</v>
      </c>
      <c r="X20" s="160">
        <f t="shared" si="1"/>
        <v>0</v>
      </c>
      <c r="Y20" s="160">
        <f t="shared" si="1"/>
        <v>218694.63329999999</v>
      </c>
      <c r="Z20" s="160">
        <f t="shared" si="1"/>
        <v>174851.70379999999</v>
      </c>
      <c r="AA20" s="160">
        <f t="shared" si="1"/>
        <v>43842.929499999998</v>
      </c>
      <c r="AB20" s="160">
        <f t="shared" si="1"/>
        <v>0</v>
      </c>
      <c r="AC20" s="160">
        <f t="shared" si="1"/>
        <v>0</v>
      </c>
    </row>
    <row r="21" spans="1:29" ht="15.75" customHeight="1" x14ac:dyDescent="0.25">
      <c r="A21" s="688" t="s">
        <v>159</v>
      </c>
      <c r="B21" s="689"/>
      <c r="C21" s="689"/>
      <c r="D21" s="689"/>
      <c r="E21" s="689"/>
      <c r="F21" s="689"/>
      <c r="G21" s="689"/>
      <c r="H21" s="689"/>
      <c r="I21" s="689"/>
      <c r="J21" s="689"/>
      <c r="K21" s="689"/>
      <c r="L21" s="689"/>
      <c r="M21" s="689"/>
      <c r="N21" s="689"/>
      <c r="O21" s="689"/>
      <c r="P21" s="689"/>
      <c r="Q21" s="689"/>
      <c r="R21" s="689"/>
      <c r="S21" s="689"/>
      <c r="T21" s="689"/>
      <c r="U21" s="690"/>
      <c r="V21" s="129"/>
      <c r="W21" s="129"/>
    </row>
    <row r="22" spans="1:29" ht="4.5" hidden="1" customHeight="1" x14ac:dyDescent="0.2">
      <c r="A22" s="691" t="s">
        <v>146</v>
      </c>
      <c r="B22" s="691"/>
      <c r="C22" s="691"/>
      <c r="D22" s="691"/>
      <c r="E22" s="691"/>
      <c r="F22" s="691"/>
      <c r="G22" s="691"/>
      <c r="H22" s="691"/>
      <c r="I22" s="691"/>
      <c r="J22" s="691"/>
      <c r="K22" s="691"/>
      <c r="L22" s="691"/>
      <c r="M22" s="691"/>
      <c r="N22" s="691"/>
      <c r="O22" s="691"/>
      <c r="P22" s="691"/>
      <c r="Q22" s="691"/>
      <c r="R22" s="691"/>
      <c r="S22" s="691"/>
      <c r="T22" s="691"/>
      <c r="U22" s="691"/>
      <c r="V22" s="691"/>
      <c r="W22" s="691"/>
    </row>
    <row r="23" spans="1:29" ht="3" customHeight="1" x14ac:dyDescent="0.2">
      <c r="A23" s="691" t="s">
        <v>147</v>
      </c>
      <c r="B23" s="691"/>
      <c r="C23" s="691"/>
      <c r="D23" s="691"/>
      <c r="E23" s="691"/>
      <c r="F23" s="691"/>
      <c r="G23" s="691"/>
      <c r="H23" s="691"/>
      <c r="I23" s="691"/>
      <c r="J23" s="691"/>
      <c r="K23" s="691"/>
      <c r="L23" s="691"/>
      <c r="M23" s="691"/>
      <c r="N23" s="691"/>
      <c r="O23" s="691"/>
      <c r="P23" s="691"/>
      <c r="Q23" s="691"/>
      <c r="R23" s="691"/>
      <c r="S23" s="691"/>
      <c r="T23" s="691"/>
      <c r="U23" s="691"/>
      <c r="V23" s="691"/>
      <c r="W23" s="691"/>
    </row>
    <row r="24" spans="1:29" s="130" customFormat="1" ht="10.5" customHeight="1" x14ac:dyDescent="0.2">
      <c r="B24" s="131"/>
      <c r="C24" s="131"/>
      <c r="D24" s="132"/>
      <c r="E24" s="132"/>
      <c r="F24" s="132"/>
      <c r="G24" s="132"/>
      <c r="H24" s="132"/>
      <c r="I24" s="133"/>
      <c r="J24" s="134"/>
      <c r="T24" s="135"/>
    </row>
    <row r="25" spans="1:29" ht="123" customHeight="1" x14ac:dyDescent="0.2">
      <c r="A25" s="136"/>
      <c r="B25" s="137"/>
      <c r="C25" s="138" t="s">
        <v>172</v>
      </c>
      <c r="D25" s="138" t="s">
        <v>173</v>
      </c>
      <c r="E25" s="138" t="s">
        <v>148</v>
      </c>
      <c r="F25" s="138"/>
      <c r="G25" s="138"/>
      <c r="H25" s="138"/>
      <c r="I25" s="138" t="s">
        <v>174</v>
      </c>
      <c r="J25" s="139" t="s">
        <v>175</v>
      </c>
      <c r="K25" s="139" t="s">
        <v>176</v>
      </c>
      <c r="L25" s="138"/>
      <c r="M25" s="163" t="s">
        <v>149</v>
      </c>
      <c r="N25" s="139"/>
      <c r="O25" s="139"/>
      <c r="P25" s="139"/>
      <c r="Q25" s="139"/>
      <c r="R25" s="139"/>
      <c r="S25" s="139"/>
      <c r="T25" s="138" t="s">
        <v>150</v>
      </c>
      <c r="U25" s="140" t="s">
        <v>151</v>
      </c>
      <c r="V25" s="141"/>
      <c r="W25" s="136"/>
      <c r="X25" s="136"/>
      <c r="Y25" s="136"/>
      <c r="Z25" s="136"/>
    </row>
    <row r="26" spans="1:29" ht="33" customHeight="1" x14ac:dyDescent="0.2">
      <c r="A26" s="136"/>
      <c r="B26" s="142" t="s">
        <v>152</v>
      </c>
      <c r="C26" s="143">
        <f>('прил к эксп 3'!N11*'прил к эксп 3'!N10+'прил к эксп 3'!P11*'прил к эксп 3'!P10)/'прил к эксп 3'!R10</f>
        <v>3258.2590361445782</v>
      </c>
      <c r="D26" s="143">
        <f>H19</f>
        <v>1042.1279999999999</v>
      </c>
      <c r="E26" s="144">
        <v>0</v>
      </c>
      <c r="F26" s="158"/>
      <c r="G26" s="158"/>
      <c r="H26" s="158"/>
      <c r="I26" s="143">
        <f>C26+D26+E26</f>
        <v>4300.3870361445779</v>
      </c>
      <c r="J26" s="145">
        <f>I26*'МОЙ РАСЧЕТ'!O2</f>
        <v>5074.456702650602</v>
      </c>
      <c r="K26" s="162">
        <f>'прил к эксп 3'!M18</f>
        <v>3485.8446080000003</v>
      </c>
      <c r="L26" s="146"/>
      <c r="M26" s="164">
        <f>J26/K26*100</f>
        <v>145.57323327048897</v>
      </c>
      <c r="N26" s="147"/>
      <c r="O26" s="147"/>
      <c r="P26" s="147"/>
      <c r="Q26" s="147"/>
      <c r="R26" s="147"/>
      <c r="S26" s="147"/>
      <c r="T26" s="148">
        <f>J26*C20</f>
        <v>2105899.5315999999</v>
      </c>
      <c r="U26" s="137">
        <f>T26-E26*1.18*C20</f>
        <v>2105899.5315999999</v>
      </c>
      <c r="V26" s="141"/>
      <c r="W26" s="136"/>
      <c r="X26" s="136"/>
      <c r="Y26" s="136"/>
      <c r="Z26" s="136"/>
    </row>
    <row r="27" spans="1:29" x14ac:dyDescent="0.2">
      <c r="A27" s="136"/>
      <c r="B27" s="136"/>
      <c r="C27" s="136"/>
      <c r="D27" s="136"/>
      <c r="E27" s="141">
        <f>E26*C19*1.18/1000</f>
        <v>0</v>
      </c>
      <c r="F27" s="141"/>
      <c r="G27" s="141"/>
      <c r="H27" s="141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49"/>
      <c r="U27" s="136"/>
      <c r="V27" s="141">
        <f>V28+V29+V30</f>
        <v>357.5</v>
      </c>
      <c r="W27" s="136"/>
      <c r="X27" s="136"/>
      <c r="Y27" s="136"/>
      <c r="Z27" s="136"/>
    </row>
    <row r="28" spans="1:29" ht="45" customHeight="1" x14ac:dyDescent="0.2">
      <c r="A28" s="136"/>
      <c r="B28" s="671" t="s">
        <v>153</v>
      </c>
      <c r="C28" s="672"/>
      <c r="D28" s="150">
        <f>C19</f>
        <v>415</v>
      </c>
      <c r="E28" s="136"/>
      <c r="F28" s="136"/>
      <c r="G28" s="136"/>
      <c r="H28" s="136"/>
      <c r="I28" s="151">
        <v>350</v>
      </c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41">
        <f>'[1]Расчет к постановл.1'!C7+'[1]Расчет к постановл.1'!C8</f>
        <v>292.03032000000002</v>
      </c>
      <c r="W28" s="136"/>
      <c r="X28" s="136"/>
      <c r="Y28" s="136"/>
      <c r="Z28" s="136"/>
    </row>
    <row r="29" spans="1:29" ht="31.5" customHeight="1" x14ac:dyDescent="0.2">
      <c r="A29" s="136"/>
      <c r="B29" s="673" t="s">
        <v>154</v>
      </c>
      <c r="C29" s="673"/>
      <c r="D29" s="152">
        <f>D28*D30</f>
        <v>2105899.5315999999</v>
      </c>
      <c r="E29" s="136"/>
      <c r="F29" s="136"/>
      <c r="G29" s="136"/>
      <c r="H29" s="136"/>
      <c r="I29" s="151">
        <f>I30*I28</f>
        <v>0</v>
      </c>
      <c r="J29" s="153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41">
        <f>'[1]Расчет к постановл.1'!C10</f>
        <v>65.217529999999996</v>
      </c>
      <c r="W29" s="136"/>
      <c r="X29" s="136"/>
      <c r="Y29" s="136"/>
      <c r="Z29" s="136"/>
    </row>
    <row r="30" spans="1:29" ht="30.75" customHeight="1" x14ac:dyDescent="0.2">
      <c r="A30" s="136"/>
      <c r="B30" s="673" t="s">
        <v>155</v>
      </c>
      <c r="C30" s="673"/>
      <c r="D30" s="154">
        <f>J26</f>
        <v>5074.456702650602</v>
      </c>
      <c r="E30" s="136"/>
      <c r="F30" s="136"/>
      <c r="G30" s="136"/>
      <c r="H30" s="136"/>
      <c r="I30" s="151"/>
      <c r="J30" s="155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41">
        <f>'[1]Расчет к постановл.1'!C11</f>
        <v>0.25214999999999999</v>
      </c>
      <c r="W30" s="136"/>
      <c r="X30" s="136"/>
      <c r="Y30" s="136"/>
      <c r="Z30" s="136"/>
    </row>
    <row r="31" spans="1:29" ht="24" customHeight="1" x14ac:dyDescent="0.2">
      <c r="A31" s="681" t="s">
        <v>156</v>
      </c>
      <c r="B31" s="681"/>
      <c r="C31" s="681"/>
      <c r="D31" s="681"/>
      <c r="E31" s="681"/>
      <c r="F31" s="681"/>
      <c r="G31" s="681"/>
      <c r="H31" s="681"/>
      <c r="I31" s="681"/>
      <c r="J31" s="681"/>
      <c r="K31" s="681"/>
      <c r="L31" s="681"/>
      <c r="M31" s="681"/>
      <c r="N31" s="681"/>
      <c r="O31" s="681"/>
      <c r="P31" s="681"/>
      <c r="Q31" s="681"/>
      <c r="R31" s="681"/>
      <c r="S31" s="681"/>
      <c r="T31" s="681"/>
      <c r="U31" s="681"/>
      <c r="V31" s="681"/>
      <c r="W31" s="681"/>
      <c r="X31" s="136"/>
      <c r="Y31" s="136"/>
      <c r="Z31" s="136"/>
    </row>
    <row r="32" spans="1:29" ht="9" customHeight="1" x14ac:dyDescent="0.2">
      <c r="A32" s="136"/>
      <c r="B32" s="136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</row>
    <row r="33" spans="1:23" ht="33.75" customHeight="1" x14ac:dyDescent="0.2">
      <c r="A33" s="682" t="s">
        <v>41</v>
      </c>
      <c r="B33" s="682"/>
      <c r="C33" s="682"/>
      <c r="D33" s="682"/>
      <c r="E33" s="682"/>
      <c r="F33" s="159"/>
      <c r="G33" s="159"/>
      <c r="H33" s="159"/>
      <c r="I33" s="156"/>
      <c r="V33" s="661" t="s">
        <v>42</v>
      </c>
      <c r="W33" s="661"/>
    </row>
  </sheetData>
  <mergeCells count="33">
    <mergeCell ref="Y4:Y5"/>
    <mergeCell ref="Z4:AC4"/>
    <mergeCell ref="B30:C30"/>
    <mergeCell ref="A31:W31"/>
    <mergeCell ref="A33:E33"/>
    <mergeCell ref="V33:W33"/>
    <mergeCell ref="U4:X4"/>
    <mergeCell ref="F4:G4"/>
    <mergeCell ref="H4:H5"/>
    <mergeCell ref="N4:N5"/>
    <mergeCell ref="O4:R4"/>
    <mergeCell ref="S4:S5"/>
    <mergeCell ref="B18:T18"/>
    <mergeCell ref="A21:U21"/>
    <mergeCell ref="A22:W22"/>
    <mergeCell ref="A23:W23"/>
    <mergeCell ref="B28:C28"/>
    <mergeCell ref="B29:C29"/>
    <mergeCell ref="T4:T5"/>
    <mergeCell ref="B6:T6"/>
    <mergeCell ref="A9:T9"/>
    <mergeCell ref="B12:T12"/>
    <mergeCell ref="B15:T15"/>
    <mergeCell ref="V1:W1"/>
    <mergeCell ref="A2:W2"/>
    <mergeCell ref="A3:K3"/>
    <mergeCell ref="A4:A5"/>
    <mergeCell ref="B4:B5"/>
    <mergeCell ref="C4:C5"/>
    <mergeCell ref="D4:D5"/>
    <mergeCell ref="E4:E5"/>
    <mergeCell ref="I4:I5"/>
    <mergeCell ref="J4:M4"/>
  </mergeCells>
  <pageMargins left="0.3" right="0.17" top="0.28000000000000003" bottom="0.26" header="0.17" footer="0.19"/>
  <pageSetup paperSize="9" scale="72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67"/>
  <sheetViews>
    <sheetView tabSelected="1" view="pageBreakPreview" topLeftCell="A5" zoomScale="90" zoomScaleNormal="87" zoomScaleSheetLayoutView="90" workbookViewId="0">
      <selection activeCell="W8" sqref="W8"/>
    </sheetView>
  </sheetViews>
  <sheetFormatPr defaultRowHeight="15.75" x14ac:dyDescent="0.2"/>
  <cols>
    <col min="1" max="1" width="5.28515625" style="1" customWidth="1"/>
    <col min="2" max="2" width="68.5703125" style="1" customWidth="1"/>
    <col min="3" max="3" width="13.5703125" style="1" hidden="1" customWidth="1"/>
    <col min="4" max="4" width="13.7109375" style="1" hidden="1" customWidth="1"/>
    <col min="5" max="5" width="13.28515625" style="1" hidden="1" customWidth="1"/>
    <col min="6" max="6" width="0.140625" style="2" hidden="1" customWidth="1"/>
    <col min="7" max="7" width="13.140625" style="1" hidden="1" customWidth="1"/>
    <col min="8" max="8" width="9.7109375" style="2" hidden="1" customWidth="1"/>
    <col min="9" max="9" width="22.140625" style="1" hidden="1" customWidth="1"/>
    <col min="10" max="10" width="21.140625" style="2" hidden="1" customWidth="1"/>
    <col min="11" max="11" width="29.85546875" style="1" hidden="1" customWidth="1"/>
    <col min="12" max="12" width="25.42578125" style="2" hidden="1" customWidth="1"/>
    <col min="13" max="14" width="14" style="1" hidden="1" customWidth="1"/>
    <col min="15" max="15" width="9.42578125" style="1" hidden="1" customWidth="1"/>
    <col min="16" max="16" width="14" style="1" hidden="1" customWidth="1"/>
    <col min="17" max="17" width="9.5703125" style="1" hidden="1" customWidth="1"/>
    <col min="18" max="18" width="16.140625" style="439" hidden="1" customWidth="1"/>
    <col min="19" max="19" width="9.140625" style="2" hidden="1" customWidth="1"/>
    <col min="20" max="20" width="16.42578125" style="2" customWidth="1"/>
    <col min="21" max="21" width="14.7109375" style="2" hidden="1" customWidth="1"/>
    <col min="22" max="22" width="16.7109375" style="2" customWidth="1"/>
    <col min="23" max="23" width="14.85546875" style="2" customWidth="1"/>
    <col min="24" max="24" width="14.7109375" style="2" customWidth="1"/>
    <col min="25" max="25" width="14.42578125" style="2" hidden="1" customWidth="1"/>
    <col min="26" max="26" width="9.5703125" style="2" hidden="1" customWidth="1"/>
    <col min="27" max="27" width="15.85546875" style="2" customWidth="1"/>
    <col min="28" max="28" width="15.28515625" style="2" customWidth="1"/>
    <col min="29" max="29" width="20.28515625" style="1" customWidth="1"/>
    <col min="30" max="30" width="17.7109375" style="1" customWidth="1"/>
    <col min="31" max="31" width="17.42578125" style="1" customWidth="1"/>
    <col min="32" max="32" width="16.42578125" style="1" customWidth="1"/>
    <col min="33" max="33" width="13.85546875" style="1" customWidth="1"/>
    <col min="34" max="34" width="21.5703125" style="1" customWidth="1"/>
    <col min="35" max="35" width="18.140625" style="1" customWidth="1"/>
    <col min="36" max="36" width="9.140625" style="1"/>
    <col min="37" max="37" width="14.140625" style="1" bestFit="1" customWidth="1"/>
    <col min="38" max="16384" width="9.140625" style="1"/>
  </cols>
  <sheetData>
    <row r="1" spans="1:35" ht="29.25" hidden="1" customHeight="1" x14ac:dyDescent="0.2">
      <c r="M1" s="740"/>
      <c r="N1" s="740"/>
      <c r="O1" s="740"/>
      <c r="P1" s="740"/>
      <c r="Q1" s="740"/>
      <c r="R1" s="740"/>
      <c r="S1" s="740"/>
      <c r="T1" s="340"/>
      <c r="U1" s="543"/>
      <c r="V1" s="430"/>
      <c r="W1" s="340"/>
      <c r="X1" s="436"/>
      <c r="Y1" s="340"/>
      <c r="Z1" s="3"/>
      <c r="AA1" s="615"/>
      <c r="AB1" s="615"/>
      <c r="AH1" s="661"/>
      <c r="AI1" s="661"/>
    </row>
    <row r="2" spans="1:35" ht="17.25" hidden="1" customHeight="1" x14ac:dyDescent="0.2">
      <c r="M2" s="740"/>
      <c r="N2" s="740"/>
      <c r="O2" s="740"/>
      <c r="P2" s="740"/>
      <c r="Q2" s="740"/>
      <c r="R2" s="740"/>
      <c r="S2" s="740"/>
      <c r="T2" s="340"/>
      <c r="U2" s="543"/>
      <c r="V2" s="430"/>
      <c r="W2" s="340"/>
      <c r="X2" s="436"/>
      <c r="Y2" s="340"/>
      <c r="Z2" s="3"/>
      <c r="AA2" s="615"/>
      <c r="AB2" s="615"/>
      <c r="AH2" s="4"/>
      <c r="AI2" s="4"/>
    </row>
    <row r="3" spans="1:35" ht="38.25" hidden="1" customHeight="1" x14ac:dyDescent="0.2">
      <c r="A3" s="741"/>
      <c r="B3" s="741"/>
      <c r="C3" s="741"/>
      <c r="D3" s="741"/>
      <c r="E3" s="741"/>
      <c r="F3" s="741"/>
      <c r="G3" s="741"/>
      <c r="H3" s="741"/>
      <c r="I3" s="741"/>
      <c r="J3" s="741"/>
      <c r="K3" s="741"/>
      <c r="L3" s="741"/>
      <c r="M3" s="741"/>
      <c r="N3" s="741"/>
      <c r="O3" s="741"/>
      <c r="P3" s="741"/>
      <c r="Q3" s="741"/>
      <c r="R3" s="741"/>
      <c r="S3" s="741"/>
      <c r="T3" s="741"/>
      <c r="U3" s="741"/>
      <c r="V3" s="741"/>
      <c r="W3" s="741"/>
      <c r="X3" s="741"/>
      <c r="Y3" s="741"/>
      <c r="Z3" s="741"/>
      <c r="AA3" s="616"/>
      <c r="AB3" s="616"/>
      <c r="AC3" s="5"/>
      <c r="AD3" s="5"/>
      <c r="AE3" s="5"/>
      <c r="AF3" s="5"/>
      <c r="AG3" s="5"/>
      <c r="AH3" s="5"/>
      <c r="AI3" s="5"/>
    </row>
    <row r="4" spans="1:35" ht="11.25" hidden="1" customHeight="1" x14ac:dyDescent="0.2">
      <c r="A4" s="6"/>
      <c r="B4" s="6"/>
      <c r="C4" s="6"/>
      <c r="D4" s="6"/>
      <c r="E4" s="6"/>
      <c r="F4" s="7"/>
      <c r="G4" s="6"/>
      <c r="H4" s="7"/>
      <c r="I4" s="6"/>
      <c r="J4" s="7"/>
      <c r="K4" s="6"/>
      <c r="L4" s="7"/>
      <c r="M4" s="6"/>
      <c r="N4" s="6"/>
      <c r="O4" s="6"/>
      <c r="P4" s="6"/>
      <c r="Q4" s="6"/>
      <c r="R4" s="438"/>
      <c r="S4" s="7"/>
      <c r="T4" s="7"/>
      <c r="U4" s="7"/>
      <c r="V4" s="7"/>
      <c r="W4" s="7"/>
      <c r="X4" s="7"/>
      <c r="Y4" s="7"/>
      <c r="Z4" s="7"/>
      <c r="AA4" s="7"/>
      <c r="AB4" s="7"/>
      <c r="AC4" s="6"/>
      <c r="AD4" s="6"/>
      <c r="AE4" s="6"/>
      <c r="AF4" s="6"/>
      <c r="AG4" s="6"/>
      <c r="AH4" s="6"/>
      <c r="AI4" s="6"/>
    </row>
    <row r="5" spans="1:35" ht="60" customHeight="1" x14ac:dyDescent="0.2">
      <c r="A5" s="263"/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R5" s="1"/>
      <c r="T5" s="341"/>
      <c r="U5" s="540"/>
      <c r="V5" s="431"/>
      <c r="W5" s="341"/>
      <c r="X5" s="742" t="s">
        <v>290</v>
      </c>
      <c r="Y5" s="742"/>
      <c r="Z5" s="742"/>
      <c r="AA5" s="742"/>
      <c r="AB5" s="617"/>
      <c r="AC5" s="5"/>
      <c r="AD5" s="263"/>
      <c r="AE5" s="263"/>
      <c r="AF5" s="263"/>
      <c r="AG5" s="263"/>
      <c r="AH5" s="263"/>
    </row>
    <row r="6" spans="1:35" ht="57" customHeight="1" thickBot="1" x14ac:dyDescent="0.25">
      <c r="A6" s="738" t="s">
        <v>262</v>
      </c>
      <c r="B6" s="738"/>
      <c r="C6" s="738"/>
      <c r="D6" s="738"/>
      <c r="E6" s="738"/>
      <c r="F6" s="738"/>
      <c r="G6" s="738"/>
      <c r="H6" s="738"/>
      <c r="I6" s="738"/>
      <c r="J6" s="738"/>
      <c r="K6" s="738"/>
      <c r="L6" s="738"/>
      <c r="M6" s="738"/>
      <c r="N6" s="738"/>
      <c r="O6" s="738"/>
      <c r="P6" s="738"/>
      <c r="Q6" s="738"/>
      <c r="R6" s="738"/>
      <c r="S6" s="738"/>
      <c r="T6" s="739"/>
      <c r="U6" s="739"/>
      <c r="V6" s="739"/>
      <c r="W6" s="739"/>
      <c r="X6" s="739"/>
      <c r="Y6" s="341"/>
      <c r="Z6" s="206"/>
      <c r="AA6" s="617"/>
      <c r="AB6" s="617"/>
      <c r="AC6" s="5"/>
      <c r="AD6" s="206"/>
      <c r="AE6" s="206"/>
      <c r="AF6" s="206"/>
      <c r="AG6" s="206"/>
      <c r="AH6" s="206"/>
    </row>
    <row r="7" spans="1:35" ht="15.75" customHeight="1" x14ac:dyDescent="0.2">
      <c r="A7" s="748" t="s">
        <v>1</v>
      </c>
      <c r="B7" s="750" t="s">
        <v>2</v>
      </c>
      <c r="C7" s="752">
        <v>2011</v>
      </c>
      <c r="D7" s="752"/>
      <c r="E7" s="753" t="s">
        <v>253</v>
      </c>
      <c r="F7" s="753"/>
      <c r="G7" s="753"/>
      <c r="H7" s="753"/>
      <c r="I7" s="753"/>
      <c r="J7" s="753"/>
      <c r="K7" s="753"/>
      <c r="L7" s="753"/>
      <c r="M7" s="753"/>
      <c r="N7" s="745" t="s">
        <v>268</v>
      </c>
      <c r="O7" s="746"/>
      <c r="P7" s="746"/>
      <c r="Q7" s="746"/>
      <c r="R7" s="747"/>
      <c r="S7" s="754" t="s">
        <v>235</v>
      </c>
      <c r="T7" s="666" t="s">
        <v>281</v>
      </c>
      <c r="U7" s="666"/>
      <c r="V7" s="666"/>
      <c r="W7" s="666"/>
      <c r="X7" s="666"/>
      <c r="Y7" s="666"/>
      <c r="Z7" s="756" t="s">
        <v>3</v>
      </c>
      <c r="AA7" s="759" t="s">
        <v>282</v>
      </c>
      <c r="AB7" s="760"/>
      <c r="AC7" s="759"/>
      <c r="AD7" s="760"/>
      <c r="AE7" s="10"/>
      <c r="AF7" s="10"/>
      <c r="AG7" s="10"/>
      <c r="AH7" s="10"/>
    </row>
    <row r="8" spans="1:35" ht="99.75" customHeight="1" x14ac:dyDescent="0.2">
      <c r="A8" s="749"/>
      <c r="B8" s="751"/>
      <c r="C8" s="536" t="s">
        <v>4</v>
      </c>
      <c r="D8" s="536" t="s">
        <v>5</v>
      </c>
      <c r="E8" s="12" t="s">
        <v>6</v>
      </c>
      <c r="F8" s="542" t="s">
        <v>7</v>
      </c>
      <c r="G8" s="12" t="s">
        <v>8</v>
      </c>
      <c r="H8" s="542" t="s">
        <v>232</v>
      </c>
      <c r="I8" s="12" t="s">
        <v>9</v>
      </c>
      <c r="J8" s="542" t="s">
        <v>10</v>
      </c>
      <c r="K8" s="12" t="s">
        <v>11</v>
      </c>
      <c r="L8" s="542" t="s">
        <v>12</v>
      </c>
      <c r="M8" s="536" t="s">
        <v>13</v>
      </c>
      <c r="N8" s="596" t="s">
        <v>276</v>
      </c>
      <c r="O8" s="589" t="s">
        <v>233</v>
      </c>
      <c r="P8" s="588" t="s">
        <v>277</v>
      </c>
      <c r="Q8" s="346" t="s">
        <v>234</v>
      </c>
      <c r="R8" s="462" t="s">
        <v>13</v>
      </c>
      <c r="S8" s="755"/>
      <c r="T8" s="602" t="s">
        <v>287</v>
      </c>
      <c r="U8" s="610" t="s">
        <v>280</v>
      </c>
      <c r="V8" s="602" t="s">
        <v>288</v>
      </c>
      <c r="W8" s="610" t="s">
        <v>232</v>
      </c>
      <c r="X8" s="462" t="s">
        <v>13</v>
      </c>
      <c r="Y8" s="610" t="s">
        <v>275</v>
      </c>
      <c r="Z8" s="756"/>
      <c r="AA8" s="614" t="s">
        <v>283</v>
      </c>
      <c r="AB8" s="614" t="s">
        <v>233</v>
      </c>
      <c r="AC8" s="24"/>
      <c r="AD8" s="609"/>
      <c r="AE8" s="10"/>
      <c r="AF8" s="10"/>
      <c r="AG8" s="10"/>
      <c r="AH8" s="10"/>
    </row>
    <row r="9" spans="1:35" s="15" customFormat="1" x14ac:dyDescent="0.2">
      <c r="A9" s="546">
        <v>1</v>
      </c>
      <c r="B9" s="541">
        <f>A9+1</f>
        <v>2</v>
      </c>
      <c r="C9" s="537">
        <f>B9+1</f>
        <v>3</v>
      </c>
      <c r="D9" s="537">
        <f t="shared" ref="D9:L9" si="0">C9+1</f>
        <v>4</v>
      </c>
      <c r="E9" s="537">
        <v>3</v>
      </c>
      <c r="F9" s="537">
        <f t="shared" si="0"/>
        <v>4</v>
      </c>
      <c r="G9" s="537">
        <v>4</v>
      </c>
      <c r="H9" s="537">
        <v>5</v>
      </c>
      <c r="I9" s="537">
        <f t="shared" si="0"/>
        <v>6</v>
      </c>
      <c r="J9" s="537">
        <f t="shared" si="0"/>
        <v>7</v>
      </c>
      <c r="K9" s="537">
        <f t="shared" si="0"/>
        <v>8</v>
      </c>
      <c r="L9" s="537">
        <f t="shared" si="0"/>
        <v>9</v>
      </c>
      <c r="M9" s="537">
        <v>6</v>
      </c>
      <c r="N9" s="597">
        <v>3</v>
      </c>
      <c r="O9" s="590">
        <v>4</v>
      </c>
      <c r="P9" s="590">
        <v>4</v>
      </c>
      <c r="Q9" s="537">
        <v>5</v>
      </c>
      <c r="R9" s="537">
        <v>6</v>
      </c>
      <c r="S9" s="537">
        <v>7</v>
      </c>
      <c r="T9" s="603">
        <v>3</v>
      </c>
      <c r="U9" s="608">
        <v>4</v>
      </c>
      <c r="V9" s="603">
        <v>4</v>
      </c>
      <c r="W9" s="608">
        <v>5</v>
      </c>
      <c r="X9" s="608">
        <v>6</v>
      </c>
      <c r="Y9" s="608">
        <v>8</v>
      </c>
      <c r="Z9" s="470">
        <v>10</v>
      </c>
      <c r="AA9" s="612">
        <v>7</v>
      </c>
      <c r="AB9" s="612">
        <v>8</v>
      </c>
      <c r="AC9" s="618"/>
      <c r="AD9" s="622"/>
      <c r="AE9" s="451"/>
      <c r="AF9" s="451"/>
      <c r="AG9" s="6"/>
      <c r="AH9" s="6"/>
    </row>
    <row r="10" spans="1:35" s="15" customFormat="1" x14ac:dyDescent="0.2">
      <c r="A10" s="546">
        <v>1</v>
      </c>
      <c r="B10" s="480" t="s">
        <v>14</v>
      </c>
      <c r="C10" s="17">
        <v>380</v>
      </c>
      <c r="D10" s="17">
        <v>197.7</v>
      </c>
      <c r="E10" s="18">
        <v>241.9</v>
      </c>
      <c r="F10" s="19">
        <f>E10/D10*100</f>
        <v>122.35710672736471</v>
      </c>
      <c r="G10" s="20">
        <v>168.1</v>
      </c>
      <c r="H10" s="21">
        <f t="shared" ref="H10:H23" si="1">G10/E10*100</f>
        <v>69.491525423728802</v>
      </c>
      <c r="I10" s="22"/>
      <c r="J10" s="19"/>
      <c r="K10" s="22"/>
      <c r="L10" s="19"/>
      <c r="M10" s="22">
        <f>E10+G10+I10+K10</f>
        <v>410</v>
      </c>
      <c r="N10" s="598">
        <v>241.5</v>
      </c>
      <c r="O10" s="592">
        <f>N10/G10*100</f>
        <v>143.66448542534206</v>
      </c>
      <c r="P10" s="593">
        <v>173.5</v>
      </c>
      <c r="Q10" s="19">
        <f>P10/N10*100</f>
        <v>71.842650103519674</v>
      </c>
      <c r="R10" s="22">
        <f>N10+P10</f>
        <v>415</v>
      </c>
      <c r="S10" s="23">
        <f>R10/M10*100</f>
        <v>101.21951219512195</v>
      </c>
      <c r="T10" s="604">
        <v>231.3</v>
      </c>
      <c r="U10" s="23">
        <f>T10/P10*100</f>
        <v>133.31412103746399</v>
      </c>
      <c r="V10" s="604">
        <v>177.9</v>
      </c>
      <c r="W10" s="23">
        <f>V10/T10*100</f>
        <v>76.913099870298311</v>
      </c>
      <c r="X10" s="23">
        <f>T10+V10</f>
        <v>409.20000000000005</v>
      </c>
      <c r="Y10" s="23">
        <f>X10/R10*100</f>
        <v>98.602409638554221</v>
      </c>
      <c r="Z10" s="471">
        <v>367.3</v>
      </c>
      <c r="AA10" s="471">
        <v>177.9</v>
      </c>
      <c r="AB10" s="472">
        <f>AA10/V10*100</f>
        <v>100</v>
      </c>
      <c r="AC10" s="618">
        <v>367.3</v>
      </c>
      <c r="AD10" s="622">
        <f>AC10/355.8</f>
        <v>1.0323215289488477</v>
      </c>
      <c r="AE10" s="451">
        <f>(E10*E12+E10*E13)/E10</f>
        <v>661.07</v>
      </c>
      <c r="AF10" s="451"/>
      <c r="AG10" s="6"/>
      <c r="AH10" s="6"/>
    </row>
    <row r="11" spans="1:35" x14ac:dyDescent="0.2">
      <c r="A11" s="546">
        <v>2</v>
      </c>
      <c r="B11" s="481" t="s">
        <v>15</v>
      </c>
      <c r="C11" s="25">
        <v>2033.7284210526318</v>
      </c>
      <c r="D11" s="25">
        <v>2122</v>
      </c>
      <c r="E11" s="26">
        <f>D11</f>
        <v>2122</v>
      </c>
      <c r="F11" s="27">
        <f>E11/D11*100</f>
        <v>100</v>
      </c>
      <c r="G11" s="26">
        <v>2440</v>
      </c>
      <c r="H11" s="28">
        <f t="shared" si="1"/>
        <v>114.98586239396795</v>
      </c>
      <c r="I11" s="26"/>
      <c r="J11" s="19"/>
      <c r="K11" s="26"/>
      <c r="L11" s="19"/>
      <c r="M11" s="26">
        <f>(E11*E10+G11*G10)/M10</f>
        <v>2252.38</v>
      </c>
      <c r="N11" s="599">
        <v>3206</v>
      </c>
      <c r="O11" s="592">
        <f t="shared" ref="O11:O28" si="2">N11/G11*100</f>
        <v>131.39344262295083</v>
      </c>
      <c r="P11" s="595">
        <v>3331</v>
      </c>
      <c r="Q11" s="19">
        <f t="shared" ref="Q11:Q28" si="3">P11/N11*100</f>
        <v>103.89893948845913</v>
      </c>
      <c r="R11" s="26">
        <f>(N11*N10+P11*P10)/R10</f>
        <v>3258.2590361445782</v>
      </c>
      <c r="S11" s="23">
        <f t="shared" ref="S11:S28" si="4">R11/M11*100</f>
        <v>144.65849617491622</v>
      </c>
      <c r="T11" s="605">
        <v>3331</v>
      </c>
      <c r="U11" s="23">
        <f t="shared" ref="U11:U23" si="5">T11/P11*100</f>
        <v>100</v>
      </c>
      <c r="V11" s="605">
        <v>3444</v>
      </c>
      <c r="W11" s="23">
        <f t="shared" ref="W11:W23" si="6">V11/T11*100</f>
        <v>103.39237466226359</v>
      </c>
      <c r="X11" s="26">
        <f>(T11*T10+V11*V10)/X10</f>
        <v>3380.126832844574</v>
      </c>
      <c r="Y11" s="23">
        <f>X11/R11*100</f>
        <v>103.74027342050125</v>
      </c>
      <c r="Z11" s="472">
        <f>M11</f>
        <v>2252.38</v>
      </c>
      <c r="AA11" s="472">
        <v>3444</v>
      </c>
      <c r="AB11" s="472">
        <f>AA11/V11*100</f>
        <v>100</v>
      </c>
      <c r="AC11" s="619">
        <v>1723.73</v>
      </c>
      <c r="AD11" s="623"/>
      <c r="AE11" s="451">
        <f>(G12*G10+G13*G10)/G10</f>
        <v>760.2299999999999</v>
      </c>
      <c r="AF11" s="452"/>
      <c r="AG11" s="10"/>
      <c r="AH11" s="10"/>
    </row>
    <row r="12" spans="1:35" x14ac:dyDescent="0.2">
      <c r="A12" s="546">
        <v>3</v>
      </c>
      <c r="B12" s="481" t="s">
        <v>16</v>
      </c>
      <c r="C12" s="25">
        <v>497.34224736842106</v>
      </c>
      <c r="D12" s="25">
        <v>518.94000000000005</v>
      </c>
      <c r="E12" s="26">
        <f>D12</f>
        <v>518.94000000000005</v>
      </c>
      <c r="F12" s="27">
        <f t="shared" ref="F12:F28" si="7">E12/D12*100</f>
        <v>100</v>
      </c>
      <c r="G12" s="26">
        <v>596.78</v>
      </c>
      <c r="H12" s="28">
        <f t="shared" si="1"/>
        <v>114.9998072994951</v>
      </c>
      <c r="I12" s="26"/>
      <c r="J12" s="19"/>
      <c r="K12" s="26"/>
      <c r="L12" s="19"/>
      <c r="M12" s="26">
        <f>(E12*E10+G12*G10)/M10</f>
        <v>550.85440000000006</v>
      </c>
      <c r="N12" s="599">
        <v>817.28</v>
      </c>
      <c r="O12" s="592">
        <f t="shared" si="2"/>
        <v>136.94828915178124</v>
      </c>
      <c r="P12" s="595">
        <v>854.06</v>
      </c>
      <c r="Q12" s="19">
        <f t="shared" si="3"/>
        <v>104.50029365700861</v>
      </c>
      <c r="R12" s="26">
        <f>(N12*N10+P12*P10)/R10</f>
        <v>832.65669879518077</v>
      </c>
      <c r="S12" s="23">
        <f t="shared" si="4"/>
        <v>151.15731104175271</v>
      </c>
      <c r="T12" s="605">
        <v>854.06</v>
      </c>
      <c r="U12" s="23">
        <f t="shared" si="5"/>
        <v>100</v>
      </c>
      <c r="V12" s="605">
        <v>883.1</v>
      </c>
      <c r="W12" s="23">
        <f t="shared" si="6"/>
        <v>103.40022949207317</v>
      </c>
      <c r="X12" s="26">
        <f>(T12*T10+V12*V10)/X10</f>
        <v>866.68516129032253</v>
      </c>
      <c r="Y12" s="23">
        <f t="shared" ref="Y12:Y23" si="8">X12/R12*100</f>
        <v>104.08673376967717</v>
      </c>
      <c r="Z12" s="472">
        <v>418.56</v>
      </c>
      <c r="AA12" s="472">
        <v>883.1</v>
      </c>
      <c r="AB12" s="472">
        <f t="shared" ref="AB12:AB23" si="9">AA12/V12*100</f>
        <v>100</v>
      </c>
      <c r="AC12" s="619"/>
      <c r="AD12" s="623"/>
      <c r="AE12" s="452"/>
      <c r="AF12" s="452"/>
      <c r="AG12" s="10"/>
      <c r="AH12" s="10"/>
    </row>
    <row r="13" spans="1:35" x14ac:dyDescent="0.2">
      <c r="A13" s="546">
        <v>4</v>
      </c>
      <c r="B13" s="481" t="s">
        <v>17</v>
      </c>
      <c r="C13" s="25">
        <v>136.21484473684211</v>
      </c>
      <c r="D13" s="25">
        <v>142.13</v>
      </c>
      <c r="E13" s="26">
        <f>D13</f>
        <v>142.13</v>
      </c>
      <c r="F13" s="27">
        <f t="shared" si="7"/>
        <v>100</v>
      </c>
      <c r="G13" s="26">
        <v>163.44999999999999</v>
      </c>
      <c r="H13" s="28">
        <f t="shared" si="1"/>
        <v>115.00035179061423</v>
      </c>
      <c r="I13" s="26"/>
      <c r="J13" s="19"/>
      <c r="K13" s="26"/>
      <c r="L13" s="19"/>
      <c r="M13" s="26">
        <f>(E13*E10+G13*G10)/M10</f>
        <v>150.87119999999999</v>
      </c>
      <c r="N13" s="599">
        <v>206.11</v>
      </c>
      <c r="O13" s="592">
        <f t="shared" si="2"/>
        <v>126.09972468644848</v>
      </c>
      <c r="P13" s="595">
        <v>214.15</v>
      </c>
      <c r="Q13" s="19">
        <f t="shared" si="3"/>
        <v>103.90082965406822</v>
      </c>
      <c r="R13" s="26">
        <f>(N13*N10+P13*P10)/R10</f>
        <v>209.47130120481927</v>
      </c>
      <c r="S13" s="23">
        <f t="shared" si="4"/>
        <v>138.84114476773519</v>
      </c>
      <c r="T13" s="605">
        <v>214.15</v>
      </c>
      <c r="U13" s="23">
        <f t="shared" si="5"/>
        <v>100</v>
      </c>
      <c r="V13" s="605">
        <v>214.15</v>
      </c>
      <c r="W13" s="23">
        <f t="shared" si="6"/>
        <v>100</v>
      </c>
      <c r="X13" s="26">
        <f>(T13*T10+V13*V10)/X10</f>
        <v>214.15</v>
      </c>
      <c r="Y13" s="23">
        <f t="shared" si="8"/>
        <v>102.23357508559417</v>
      </c>
      <c r="Z13" s="472">
        <v>130.25</v>
      </c>
      <c r="AA13" s="472">
        <v>214.15</v>
      </c>
      <c r="AB13" s="472">
        <f t="shared" si="9"/>
        <v>100</v>
      </c>
      <c r="AC13" s="619"/>
      <c r="AD13" s="623" t="s">
        <v>18</v>
      </c>
      <c r="AE13" s="452"/>
      <c r="AF13" s="452"/>
      <c r="AG13" s="10"/>
      <c r="AH13" s="10"/>
    </row>
    <row r="14" spans="1:35" s="15" customFormat="1" x14ac:dyDescent="0.2">
      <c r="A14" s="546">
        <v>5</v>
      </c>
      <c r="B14" s="480" t="s">
        <v>19</v>
      </c>
      <c r="C14" s="17">
        <v>2667.2855131578949</v>
      </c>
      <c r="D14" s="17">
        <v>2783.07</v>
      </c>
      <c r="E14" s="22">
        <f>E11+E12+E13</f>
        <v>2783.07</v>
      </c>
      <c r="F14" s="19">
        <f t="shared" si="7"/>
        <v>100</v>
      </c>
      <c r="G14" s="22">
        <f>G11+G12+G13</f>
        <v>3200.2299999999996</v>
      </c>
      <c r="H14" s="21">
        <f t="shared" si="1"/>
        <v>114.98920257126122</v>
      </c>
      <c r="I14" s="22"/>
      <c r="J14" s="19"/>
      <c r="K14" s="22"/>
      <c r="L14" s="19"/>
      <c r="M14" s="22">
        <f>M11+M12+M13</f>
        <v>2954.1056000000003</v>
      </c>
      <c r="N14" s="598">
        <f>N11+N12+N13</f>
        <v>4229.3899999999994</v>
      </c>
      <c r="O14" s="591">
        <f t="shared" ref="O14" si="10">O11+O12+O13</f>
        <v>394.44145646118056</v>
      </c>
      <c r="P14" s="591">
        <f>P11+P12+P13</f>
        <v>4399.2099999999991</v>
      </c>
      <c r="Q14" s="19">
        <f t="shared" si="3"/>
        <v>104.01523623974143</v>
      </c>
      <c r="R14" s="22">
        <f>R11+R12+R13</f>
        <v>4300.3870361445788</v>
      </c>
      <c r="S14" s="23">
        <f t="shared" si="4"/>
        <v>145.573233270489</v>
      </c>
      <c r="T14" s="604">
        <f>T11+T12+T13</f>
        <v>4399.2099999999991</v>
      </c>
      <c r="U14" s="23">
        <f t="shared" si="5"/>
        <v>100</v>
      </c>
      <c r="V14" s="604">
        <f>V11+V12+V13</f>
        <v>4541.25</v>
      </c>
      <c r="W14" s="23">
        <f t="shared" si="6"/>
        <v>103.22876152763794</v>
      </c>
      <c r="X14" s="22">
        <f>X11+X12+X13</f>
        <v>4460.9619941348965</v>
      </c>
      <c r="Y14" s="23">
        <f t="shared" si="8"/>
        <v>103.73396526035195</v>
      </c>
      <c r="Z14" s="471">
        <v>2272.54</v>
      </c>
      <c r="AA14" s="471">
        <f>AA11+AA12+AA13</f>
        <v>4541.25</v>
      </c>
      <c r="AB14" s="472">
        <f t="shared" si="9"/>
        <v>100</v>
      </c>
      <c r="AC14" s="620">
        <f>G14*1.18</f>
        <v>3776.2713999999992</v>
      </c>
      <c r="AD14" s="624">
        <f>I14*1.18</f>
        <v>0</v>
      </c>
      <c r="AE14" s="453">
        <f>K14*1.18</f>
        <v>0</v>
      </c>
      <c r="AF14" s="453">
        <f>M14*1.18</f>
        <v>3485.8446080000003</v>
      </c>
      <c r="AG14" s="6"/>
      <c r="AH14" s="6"/>
    </row>
    <row r="15" spans="1:35" x14ac:dyDescent="0.2">
      <c r="A15" s="546">
        <v>6</v>
      </c>
      <c r="B15" s="481" t="s">
        <v>20</v>
      </c>
      <c r="C15" s="25">
        <v>1196010.8241000001</v>
      </c>
      <c r="D15" s="25">
        <v>649251.26801999996</v>
      </c>
      <c r="E15" s="336">
        <f>E10*E14*1.18</f>
        <v>794405.06694000005</v>
      </c>
      <c r="F15" s="27">
        <f t="shared" si="7"/>
        <v>122.35710672736471</v>
      </c>
      <c r="G15" s="26">
        <f>G10*G14*1.18</f>
        <v>634791.22233999986</v>
      </c>
      <c r="H15" s="28">
        <f t="shared" si="1"/>
        <v>79.907750939351004</v>
      </c>
      <c r="I15" s="25"/>
      <c r="J15" s="27"/>
      <c r="K15" s="25"/>
      <c r="L15" s="27"/>
      <c r="M15" s="25">
        <f>M14*M10*1.18</f>
        <v>1429196.2892800001</v>
      </c>
      <c r="N15" s="599">
        <f>N10*N14*1.18</f>
        <v>1205249.2682999996</v>
      </c>
      <c r="O15" s="594">
        <f t="shared" ref="O15" si="11">O10*O14*1.18</f>
        <v>66867.330070043201</v>
      </c>
      <c r="P15" s="594">
        <f>P10*P14*1.18</f>
        <v>900650.26329999976</v>
      </c>
      <c r="Q15" s="19">
        <f t="shared" si="3"/>
        <v>74.727302226066826</v>
      </c>
      <c r="R15" s="25">
        <f>R14*R10*1.18</f>
        <v>2105899.5315999999</v>
      </c>
      <c r="S15" s="23">
        <f t="shared" si="4"/>
        <v>147.34851660305591</v>
      </c>
      <c r="T15" s="605">
        <f>T10*T14*1.18</f>
        <v>1200693.9821399997</v>
      </c>
      <c r="U15" s="23">
        <f t="shared" si="5"/>
        <v>133.31412103746399</v>
      </c>
      <c r="V15" s="605">
        <f>V10*V14*1.18</f>
        <v>953308.28249999997</v>
      </c>
      <c r="W15" s="23">
        <f t="shared" si="6"/>
        <v>79.396440448624247</v>
      </c>
      <c r="X15" s="25">
        <f>X14*X10*1.18</f>
        <v>2154002.2646399997</v>
      </c>
      <c r="Y15" s="23">
        <f t="shared" si="8"/>
        <v>102.28418936032779</v>
      </c>
      <c r="Z15" s="472">
        <v>984951.58</v>
      </c>
      <c r="AA15" s="472">
        <f>AA10*AA14*1.2</f>
        <v>969466.04999999993</v>
      </c>
      <c r="AB15" s="472">
        <f t="shared" si="9"/>
        <v>101.69491525423729</v>
      </c>
      <c r="AC15" s="619"/>
      <c r="AD15" s="623"/>
      <c r="AE15" s="452"/>
      <c r="AF15" s="452"/>
      <c r="AG15" s="10"/>
      <c r="AH15" s="10"/>
    </row>
    <row r="16" spans="1:35" x14ac:dyDescent="0.2">
      <c r="A16" s="546">
        <v>7</v>
      </c>
      <c r="B16" s="481" t="s">
        <v>21</v>
      </c>
      <c r="C16" s="25">
        <v>0</v>
      </c>
      <c r="D16" s="25">
        <v>0</v>
      </c>
      <c r="E16" s="26">
        <v>0</v>
      </c>
      <c r="F16" s="27"/>
      <c r="G16" s="26">
        <v>0</v>
      </c>
      <c r="H16" s="27"/>
      <c r="I16" s="26"/>
      <c r="J16" s="19"/>
      <c r="K16" s="26"/>
      <c r="L16" s="19"/>
      <c r="M16" s="26">
        <v>0</v>
      </c>
      <c r="N16" s="599">
        <v>0</v>
      </c>
      <c r="O16" s="592"/>
      <c r="P16" s="595"/>
      <c r="Q16" s="19"/>
      <c r="R16" s="26"/>
      <c r="S16" s="23"/>
      <c r="T16" s="604">
        <v>0</v>
      </c>
      <c r="U16" s="23"/>
      <c r="V16" s="604"/>
      <c r="W16" s="23"/>
      <c r="X16" s="23"/>
      <c r="Y16" s="23"/>
      <c r="Z16" s="472">
        <v>41.86</v>
      </c>
      <c r="AA16" s="472"/>
      <c r="AB16" s="472"/>
      <c r="AC16" s="621">
        <f>E16+G16+I16+K16</f>
        <v>0</v>
      </c>
      <c r="AD16" s="623">
        <f>17.723/M10*1000/1.18</f>
        <v>36.632906159570069</v>
      </c>
      <c r="AE16" s="452"/>
      <c r="AF16" s="452"/>
      <c r="AG16" s="10"/>
      <c r="AH16" s="10"/>
    </row>
    <row r="17" spans="1:42" x14ac:dyDescent="0.2">
      <c r="A17" s="546">
        <v>8</v>
      </c>
      <c r="B17" s="481" t="s">
        <v>22</v>
      </c>
      <c r="C17" s="25">
        <v>2667.2855131578949</v>
      </c>
      <c r="D17" s="25">
        <v>2783.07</v>
      </c>
      <c r="E17" s="26">
        <f>E14+E16</f>
        <v>2783.07</v>
      </c>
      <c r="F17" s="27">
        <f t="shared" si="7"/>
        <v>100</v>
      </c>
      <c r="G17" s="26">
        <f>G14+G16</f>
        <v>3200.2299999999996</v>
      </c>
      <c r="H17" s="28">
        <f t="shared" si="1"/>
        <v>114.98920257126122</v>
      </c>
      <c r="I17" s="26"/>
      <c r="J17" s="27"/>
      <c r="K17" s="26"/>
      <c r="L17" s="27"/>
      <c r="M17" s="26">
        <f>M14+M16</f>
        <v>2954.1056000000003</v>
      </c>
      <c r="N17" s="599">
        <f>N14+N16</f>
        <v>4229.3899999999994</v>
      </c>
      <c r="O17" s="592">
        <f t="shared" si="2"/>
        <v>132.15893857628981</v>
      </c>
      <c r="P17" s="595">
        <f>P14+P16</f>
        <v>4399.2099999999991</v>
      </c>
      <c r="Q17" s="19">
        <f t="shared" si="3"/>
        <v>104.01523623974143</v>
      </c>
      <c r="R17" s="26">
        <f>R14+R16</f>
        <v>4300.3870361445788</v>
      </c>
      <c r="S17" s="23">
        <f t="shared" si="4"/>
        <v>145.573233270489</v>
      </c>
      <c r="T17" s="604">
        <f>T14+T16</f>
        <v>4399.2099999999991</v>
      </c>
      <c r="U17" s="23">
        <f t="shared" si="5"/>
        <v>100</v>
      </c>
      <c r="V17" s="604">
        <f>V14+V16</f>
        <v>4541.25</v>
      </c>
      <c r="W17" s="23">
        <f t="shared" si="6"/>
        <v>103.22876152763794</v>
      </c>
      <c r="X17" s="26">
        <f>X14+X16</f>
        <v>4460.9619941348965</v>
      </c>
      <c r="Y17" s="23">
        <f t="shared" si="8"/>
        <v>103.73396526035195</v>
      </c>
      <c r="Z17" s="472">
        <v>2314.4</v>
      </c>
      <c r="AA17" s="472">
        <f>AA14+AA16</f>
        <v>4541.25</v>
      </c>
      <c r="AB17" s="472">
        <f t="shared" si="9"/>
        <v>100</v>
      </c>
      <c r="AC17" s="619">
        <f>M13/M17*100</f>
        <v>5.1071701702200478</v>
      </c>
      <c r="AD17" s="623"/>
      <c r="AE17" s="452"/>
      <c r="AF17" s="452"/>
      <c r="AG17" s="10"/>
      <c r="AH17" s="10"/>
    </row>
    <row r="18" spans="1:42" s="31" customFormat="1" ht="31.5" x14ac:dyDescent="0.2">
      <c r="A18" s="547">
        <v>9</v>
      </c>
      <c r="B18" s="482" t="s">
        <v>23</v>
      </c>
      <c r="C18" s="463">
        <v>3147.396905526316</v>
      </c>
      <c r="D18" s="463">
        <v>3284.5</v>
      </c>
      <c r="E18" s="464">
        <f>D18</f>
        <v>3284.5</v>
      </c>
      <c r="F18" s="465">
        <f t="shared" si="7"/>
        <v>100</v>
      </c>
      <c r="G18" s="466">
        <f>G17*1.18</f>
        <v>3776.2713999999992</v>
      </c>
      <c r="H18" s="467">
        <f t="shared" si="1"/>
        <v>114.97248896331251</v>
      </c>
      <c r="I18" s="468"/>
      <c r="J18" s="465"/>
      <c r="K18" s="468"/>
      <c r="L18" s="465"/>
      <c r="M18" s="468">
        <f>M17*1.18</f>
        <v>3485.8446080000003</v>
      </c>
      <c r="N18" s="600">
        <f>N17*1.18</f>
        <v>4990.6801999999989</v>
      </c>
      <c r="O18" s="467">
        <f t="shared" si="2"/>
        <v>132.15893857628981</v>
      </c>
      <c r="P18" s="466">
        <f>P17*1.18</f>
        <v>5191.0677999999989</v>
      </c>
      <c r="Q18" s="465">
        <f t="shared" si="3"/>
        <v>104.01523623974143</v>
      </c>
      <c r="R18" s="468">
        <f>R17*1.18</f>
        <v>5074.4567026506029</v>
      </c>
      <c r="S18" s="469">
        <f t="shared" si="4"/>
        <v>145.573233270489</v>
      </c>
      <c r="T18" s="604">
        <f>T17*1.18</f>
        <v>5191.0677999999989</v>
      </c>
      <c r="U18" s="469">
        <f t="shared" si="5"/>
        <v>100</v>
      </c>
      <c r="V18" s="604">
        <f>V17*1.18</f>
        <v>5358.6749999999993</v>
      </c>
      <c r="W18" s="469">
        <f t="shared" si="6"/>
        <v>103.22876152763794</v>
      </c>
      <c r="X18" s="468">
        <f>X17*1.18</f>
        <v>5263.9351530791773</v>
      </c>
      <c r="Y18" s="469">
        <f t="shared" si="8"/>
        <v>103.73396526035195</v>
      </c>
      <c r="Z18" s="473">
        <v>2730.99</v>
      </c>
      <c r="AA18" s="629">
        <f>AA17*1.2</f>
        <v>5449.5</v>
      </c>
      <c r="AB18" s="629">
        <f t="shared" si="9"/>
        <v>101.6949152542373</v>
      </c>
      <c r="AC18" s="621"/>
      <c r="AD18" s="623"/>
      <c r="AE18" s="452"/>
      <c r="AF18" s="452"/>
      <c r="AG18" s="437"/>
      <c r="AH18" s="437"/>
      <c r="AI18" s="1"/>
      <c r="AJ18" s="1"/>
      <c r="AK18" s="1"/>
    </row>
    <row r="19" spans="1:42" x14ac:dyDescent="0.2">
      <c r="A19" s="546">
        <v>10</v>
      </c>
      <c r="B19" s="480" t="s">
        <v>24</v>
      </c>
      <c r="C19" s="17">
        <v>1196010.8241000001</v>
      </c>
      <c r="D19" s="17">
        <v>649345.64999999991</v>
      </c>
      <c r="E19" s="337">
        <f>E18*E10</f>
        <v>794520.55</v>
      </c>
      <c r="F19" s="19">
        <f t="shared" si="7"/>
        <v>122.35710672736472</v>
      </c>
      <c r="G19" s="22">
        <f>G18*G10</f>
        <v>634791.22233999986</v>
      </c>
      <c r="H19" s="21">
        <f t="shared" si="1"/>
        <v>79.896136398234106</v>
      </c>
      <c r="I19" s="17"/>
      <c r="J19" s="19"/>
      <c r="K19" s="17"/>
      <c r="L19" s="19"/>
      <c r="M19" s="17">
        <f>M18*M10</f>
        <v>1429196.2892800001</v>
      </c>
      <c r="N19" s="598">
        <f>N18*N10</f>
        <v>1205249.2682999996</v>
      </c>
      <c r="O19" s="598">
        <f t="shared" ref="O19:P19" si="12">O18*O10</f>
        <v>18986.545904922066</v>
      </c>
      <c r="P19" s="598">
        <f t="shared" si="12"/>
        <v>900650.26329999976</v>
      </c>
      <c r="Q19" s="19">
        <f t="shared" si="3"/>
        <v>74.727302226066826</v>
      </c>
      <c r="R19" s="17">
        <f>R18*R10</f>
        <v>2105899.5316000003</v>
      </c>
      <c r="S19" s="23">
        <f t="shared" si="4"/>
        <v>147.34851660305594</v>
      </c>
      <c r="T19" s="605">
        <f>T18*T10</f>
        <v>1200693.9821399997</v>
      </c>
      <c r="U19" s="23">
        <f t="shared" si="5"/>
        <v>133.31412103746399</v>
      </c>
      <c r="V19" s="605">
        <f>V18*V10</f>
        <v>953308.28249999986</v>
      </c>
      <c r="W19" s="23">
        <f t="shared" si="6"/>
        <v>79.396440448624233</v>
      </c>
      <c r="X19" s="17">
        <f>X18*X10</f>
        <v>2154002.2646399997</v>
      </c>
      <c r="Y19" s="23">
        <f t="shared" si="8"/>
        <v>102.28418936032777</v>
      </c>
      <c r="Z19" s="471">
        <v>1003092.8</v>
      </c>
      <c r="AA19" s="471">
        <f>AA18*AA10</f>
        <v>969466.05</v>
      </c>
      <c r="AB19" s="472">
        <f t="shared" si="9"/>
        <v>101.6949152542373</v>
      </c>
      <c r="AC19" s="621">
        <f>E15+E16</f>
        <v>794405.06694000005</v>
      </c>
      <c r="AD19" s="623"/>
      <c r="AE19" s="452"/>
      <c r="AF19" s="452"/>
      <c r="AG19" s="10"/>
      <c r="AH19" s="10"/>
    </row>
    <row r="20" spans="1:42" x14ac:dyDescent="0.2">
      <c r="A20" s="546">
        <v>11</v>
      </c>
      <c r="B20" s="481" t="s">
        <v>25</v>
      </c>
      <c r="C20" s="32">
        <v>633.55709210526322</v>
      </c>
      <c r="D20" s="32">
        <v>661.07</v>
      </c>
      <c r="E20" s="33">
        <f>E22/E10</f>
        <v>661.07</v>
      </c>
      <c r="F20" s="27">
        <f t="shared" si="7"/>
        <v>100</v>
      </c>
      <c r="G20" s="26">
        <f>G22/G10</f>
        <v>760.23</v>
      </c>
      <c r="H20" s="28">
        <f t="shared" si="1"/>
        <v>114.99992436504454</v>
      </c>
      <c r="I20" s="33"/>
      <c r="J20" s="27"/>
      <c r="K20" s="33"/>
      <c r="L20" s="27"/>
      <c r="M20" s="33">
        <f>M22/M10</f>
        <v>701.7256000000001</v>
      </c>
      <c r="N20" s="599">
        <f>N12+N13</f>
        <v>1023.39</v>
      </c>
      <c r="O20" s="599">
        <f t="shared" ref="O20:P20" si="13">O12+O13</f>
        <v>263.04801383822974</v>
      </c>
      <c r="P20" s="599">
        <f t="shared" si="13"/>
        <v>1068.21</v>
      </c>
      <c r="Q20" s="19">
        <f t="shared" si="3"/>
        <v>104.37956204379562</v>
      </c>
      <c r="R20" s="33">
        <f>R22/R10</f>
        <v>1042.1279999999999</v>
      </c>
      <c r="S20" s="23">
        <f t="shared" si="4"/>
        <v>148.50933185279257</v>
      </c>
      <c r="T20" s="604">
        <f>T12+T13</f>
        <v>1068.21</v>
      </c>
      <c r="U20" s="23">
        <f t="shared" si="5"/>
        <v>100</v>
      </c>
      <c r="V20" s="604">
        <f>V12+V13</f>
        <v>1097.25</v>
      </c>
      <c r="W20" s="23">
        <f t="shared" si="6"/>
        <v>102.71856657398826</v>
      </c>
      <c r="X20" s="33">
        <f>X22/X10</f>
        <v>1080.8351612903225</v>
      </c>
      <c r="Y20" s="23">
        <f t="shared" si="8"/>
        <v>103.71424252014366</v>
      </c>
      <c r="Z20" s="472">
        <v>548.80999999999995</v>
      </c>
      <c r="AA20" s="472">
        <f>AA12+AA13</f>
        <v>1097.25</v>
      </c>
      <c r="AB20" s="472">
        <f t="shared" si="9"/>
        <v>100</v>
      </c>
      <c r="AC20" s="24"/>
      <c r="AD20" s="609"/>
      <c r="AE20" s="10"/>
      <c r="AF20" s="10"/>
      <c r="AG20" s="10"/>
      <c r="AH20" s="10"/>
    </row>
    <row r="21" spans="1:42" x14ac:dyDescent="0.2">
      <c r="A21" s="546">
        <v>12</v>
      </c>
      <c r="B21" s="481" t="s">
        <v>26</v>
      </c>
      <c r="C21" s="32">
        <v>747.59736868421055</v>
      </c>
      <c r="D21" s="32">
        <v>780.06259999999997</v>
      </c>
      <c r="E21" s="33">
        <f>E20*1.18</f>
        <v>780.06259999999997</v>
      </c>
      <c r="F21" s="27">
        <f t="shared" si="7"/>
        <v>100</v>
      </c>
      <c r="G21" s="26">
        <f>G20*1.18</f>
        <v>897.07139999999993</v>
      </c>
      <c r="H21" s="28">
        <f t="shared" si="1"/>
        <v>114.99992436504454</v>
      </c>
      <c r="I21" s="33"/>
      <c r="J21" s="27"/>
      <c r="K21" s="33"/>
      <c r="L21" s="27"/>
      <c r="M21" s="33">
        <f>M20*1.18</f>
        <v>828.0362080000001</v>
      </c>
      <c r="N21" s="599">
        <f>N20*1.18</f>
        <v>1207.6001999999999</v>
      </c>
      <c r="O21" s="599">
        <f t="shared" ref="O21:P21" si="14">O20*1.18</f>
        <v>310.39665632911107</v>
      </c>
      <c r="P21" s="599">
        <f t="shared" si="14"/>
        <v>1260.4877999999999</v>
      </c>
      <c r="Q21" s="19">
        <f t="shared" si="3"/>
        <v>104.37956204379562</v>
      </c>
      <c r="R21" s="33">
        <f>R20*1.18</f>
        <v>1229.7110399999999</v>
      </c>
      <c r="S21" s="23">
        <f t="shared" si="4"/>
        <v>148.50933185279257</v>
      </c>
      <c r="T21" s="605">
        <f>T20*1.18</f>
        <v>1260.4877999999999</v>
      </c>
      <c r="U21" s="23">
        <f t="shared" si="5"/>
        <v>100</v>
      </c>
      <c r="V21" s="605">
        <f>V20*1.18</f>
        <v>1294.7549999999999</v>
      </c>
      <c r="W21" s="23">
        <f t="shared" si="6"/>
        <v>102.71856657398826</v>
      </c>
      <c r="X21" s="33">
        <f>X20*1.18</f>
        <v>1275.3854903225804</v>
      </c>
      <c r="Y21" s="23">
        <f t="shared" si="8"/>
        <v>103.71424252014363</v>
      </c>
      <c r="Z21" s="472">
        <v>647.6</v>
      </c>
      <c r="AA21" s="472">
        <f>AA20*1.18</f>
        <v>1294.7549999999999</v>
      </c>
      <c r="AB21" s="472">
        <f t="shared" si="9"/>
        <v>100</v>
      </c>
      <c r="AC21" s="24"/>
      <c r="AD21" s="609"/>
      <c r="AE21" s="10"/>
      <c r="AF21" s="10"/>
      <c r="AG21" s="10"/>
      <c r="AH21" s="10"/>
    </row>
    <row r="22" spans="1:42" x14ac:dyDescent="0.2">
      <c r="A22" s="546">
        <v>13</v>
      </c>
      <c r="B22" s="481" t="s">
        <v>27</v>
      </c>
      <c r="C22" s="32">
        <v>240751.69500000001</v>
      </c>
      <c r="D22" s="32">
        <v>130693.539</v>
      </c>
      <c r="E22" s="33">
        <f>E12*E10+E13*E10</f>
        <v>159912.83300000001</v>
      </c>
      <c r="F22" s="27">
        <f t="shared" si="7"/>
        <v>122.35710672736471</v>
      </c>
      <c r="G22" s="26">
        <f>(G12+G13)*G10</f>
        <v>127794.663</v>
      </c>
      <c r="H22" s="28">
        <f t="shared" si="1"/>
        <v>79.915201677403829</v>
      </c>
      <c r="I22" s="33"/>
      <c r="J22" s="27"/>
      <c r="K22" s="33"/>
      <c r="L22" s="27"/>
      <c r="M22" s="33">
        <f>M12*M10+M13*M10</f>
        <v>287707.49600000004</v>
      </c>
      <c r="N22" s="599">
        <f>N20*N10</f>
        <v>247148.685</v>
      </c>
      <c r="O22" s="599">
        <f t="shared" ref="O22:P22" si="15">O20*O10</f>
        <v>37790.65755022753</v>
      </c>
      <c r="P22" s="599">
        <f t="shared" si="15"/>
        <v>185334.435</v>
      </c>
      <c r="Q22" s="19">
        <f t="shared" si="3"/>
        <v>74.989043538710305</v>
      </c>
      <c r="R22" s="33">
        <f>R12*R10+R13*R10</f>
        <v>432483.12</v>
      </c>
      <c r="S22" s="23">
        <f t="shared" si="4"/>
        <v>150.32042126563152</v>
      </c>
      <c r="T22" s="605">
        <f>T20*T10</f>
        <v>247076.97300000003</v>
      </c>
      <c r="U22" s="23">
        <f t="shared" si="5"/>
        <v>133.31412103746399</v>
      </c>
      <c r="V22" s="605">
        <f>V20*V10</f>
        <v>195200.77499999999</v>
      </c>
      <c r="W22" s="23">
        <f t="shared" si="6"/>
        <v>79.004033694390444</v>
      </c>
      <c r="X22" s="33">
        <f>X12*X10+X13*X10</f>
        <v>442277.74800000002</v>
      </c>
      <c r="Y22" s="23">
        <f>X22/R22*100</f>
        <v>102.26474226323563</v>
      </c>
      <c r="Z22" s="472">
        <v>201577.91</v>
      </c>
      <c r="AA22" s="472">
        <f>AA20*AA10</f>
        <v>195200.77499999999</v>
      </c>
      <c r="AB22" s="472">
        <f t="shared" si="9"/>
        <v>100</v>
      </c>
      <c r="AC22" s="24"/>
      <c r="AD22" s="609"/>
      <c r="AE22" s="10"/>
      <c r="AF22" s="10"/>
      <c r="AG22" s="10"/>
      <c r="AH22" s="10"/>
    </row>
    <row r="23" spans="1:42" ht="16.5" thickBot="1" x14ac:dyDescent="0.25">
      <c r="A23" s="548">
        <v>14</v>
      </c>
      <c r="B23" s="483" t="s">
        <v>28</v>
      </c>
      <c r="C23" s="484">
        <v>284087.0001</v>
      </c>
      <c r="D23" s="484">
        <v>154218.37602</v>
      </c>
      <c r="E23" s="485">
        <f>E22*1.18</f>
        <v>188697.14294000002</v>
      </c>
      <c r="F23" s="486">
        <f t="shared" si="7"/>
        <v>122.35710672736471</v>
      </c>
      <c r="G23" s="487">
        <f>G22*1.18</f>
        <v>150797.70233999999</v>
      </c>
      <c r="H23" s="488">
        <f t="shared" si="1"/>
        <v>79.915201677403829</v>
      </c>
      <c r="I23" s="485"/>
      <c r="J23" s="486"/>
      <c r="K23" s="485"/>
      <c r="L23" s="486"/>
      <c r="M23" s="485">
        <f>M22*1.18</f>
        <v>339494.84528000001</v>
      </c>
      <c r="N23" s="601">
        <f>N21*N10</f>
        <v>291635.44829999999</v>
      </c>
      <c r="O23" s="601">
        <f t="shared" ref="O23:P23" si="16">O21*O10</f>
        <v>44592.975909268484</v>
      </c>
      <c r="P23" s="601">
        <f t="shared" si="16"/>
        <v>218694.63329999999</v>
      </c>
      <c r="Q23" s="573">
        <f t="shared" si="3"/>
        <v>74.989043538710305</v>
      </c>
      <c r="R23" s="485">
        <f>R22*1.18</f>
        <v>510330.08159999998</v>
      </c>
      <c r="S23" s="489">
        <f t="shared" si="4"/>
        <v>150.32042126563152</v>
      </c>
      <c r="T23" s="605">
        <f>T21*T10</f>
        <v>291550.82814</v>
      </c>
      <c r="U23" s="23">
        <f t="shared" si="5"/>
        <v>133.31412103746399</v>
      </c>
      <c r="V23" s="605">
        <f>V21*V10</f>
        <v>230336.91449999998</v>
      </c>
      <c r="W23" s="23">
        <f t="shared" si="6"/>
        <v>79.004033694390458</v>
      </c>
      <c r="X23" s="33">
        <f>X22*1.18</f>
        <v>521887.74264000001</v>
      </c>
      <c r="Y23" s="23">
        <f t="shared" si="8"/>
        <v>102.26474226323563</v>
      </c>
      <c r="Z23" s="472">
        <v>237861.94</v>
      </c>
      <c r="AA23" s="472">
        <f>AA21*AA10</f>
        <v>230336.91449999998</v>
      </c>
      <c r="AB23" s="472">
        <f t="shared" si="9"/>
        <v>100</v>
      </c>
      <c r="AC23" s="24"/>
      <c r="AD23" s="609"/>
      <c r="AE23" s="10"/>
      <c r="AF23" s="10"/>
      <c r="AG23" s="10"/>
      <c r="AH23" s="10"/>
    </row>
    <row r="24" spans="1:42" ht="15" hidden="1" customHeight="1" x14ac:dyDescent="0.2">
      <c r="A24" s="474"/>
      <c r="B24" s="474" t="s">
        <v>29</v>
      </c>
      <c r="C24" s="474"/>
      <c r="D24" s="474"/>
      <c r="E24" s="474"/>
      <c r="F24" s="475"/>
      <c r="G24" s="474"/>
      <c r="H24" s="476"/>
      <c r="I24" s="474"/>
      <c r="J24" s="476"/>
      <c r="K24" s="474"/>
      <c r="L24" s="476"/>
      <c r="M24" s="474"/>
      <c r="N24" s="477"/>
      <c r="O24" s="478"/>
      <c r="P24" s="474"/>
      <c r="Q24" s="478"/>
      <c r="R24" s="474"/>
      <c r="S24" s="479"/>
      <c r="T24" s="479"/>
      <c r="U24" s="479"/>
      <c r="V24" s="479"/>
      <c r="W24" s="479"/>
      <c r="X24" s="479"/>
      <c r="Y24" s="479"/>
      <c r="Z24" s="34"/>
      <c r="AA24" s="626"/>
      <c r="AB24" s="626"/>
      <c r="AC24" s="757" t="s">
        <v>30</v>
      </c>
      <c r="AD24" s="757"/>
      <c r="AE24" s="757"/>
      <c r="AF24" s="757"/>
      <c r="AG24" s="10"/>
      <c r="AH24" s="10"/>
    </row>
    <row r="25" spans="1:42" ht="31.5" hidden="1" customHeight="1" x14ac:dyDescent="0.2">
      <c r="A25" s="24">
        <v>15</v>
      </c>
      <c r="B25" s="24" t="s">
        <v>31</v>
      </c>
      <c r="C25" s="35"/>
      <c r="D25" s="35"/>
      <c r="E25" s="35"/>
      <c r="F25" s="27"/>
      <c r="G25" s="35"/>
      <c r="H25" s="36"/>
      <c r="I25" s="35"/>
      <c r="J25" s="36"/>
      <c r="K25" s="35"/>
      <c r="L25" s="36"/>
      <c r="M25" s="35"/>
      <c r="N25" s="50"/>
      <c r="O25" s="21"/>
      <c r="P25" s="35"/>
      <c r="Q25" s="21"/>
      <c r="R25" s="35"/>
      <c r="S25" s="282"/>
      <c r="T25" s="282"/>
      <c r="U25" s="282"/>
      <c r="V25" s="282"/>
      <c r="W25" s="282"/>
      <c r="X25" s="282"/>
      <c r="Y25" s="282"/>
      <c r="Z25" s="36"/>
      <c r="AA25" s="627"/>
      <c r="AB25" s="627"/>
      <c r="AC25" s="9">
        <v>1</v>
      </c>
      <c r="AD25" s="10">
        <v>2</v>
      </c>
      <c r="AE25" s="10">
        <v>3</v>
      </c>
      <c r="AF25" s="10">
        <v>4</v>
      </c>
      <c r="AG25" s="10" t="s">
        <v>32</v>
      </c>
      <c r="AH25" s="10" t="s">
        <v>33</v>
      </c>
      <c r="AI25" s="1" t="s">
        <v>34</v>
      </c>
    </row>
    <row r="26" spans="1:42" ht="31.5" hidden="1" x14ac:dyDescent="0.2">
      <c r="A26" s="24" t="s">
        <v>35</v>
      </c>
      <c r="B26" s="24" t="s">
        <v>36</v>
      </c>
      <c r="C26" s="37">
        <v>3147.396905526316</v>
      </c>
      <c r="D26" s="38">
        <v>3284.5</v>
      </c>
      <c r="E26" s="39">
        <f>E18</f>
        <v>3284.5</v>
      </c>
      <c r="F26" s="27">
        <f t="shared" si="7"/>
        <v>100</v>
      </c>
      <c r="G26" s="39">
        <f>G18</f>
        <v>3776.2713999999992</v>
      </c>
      <c r="H26" s="40">
        <f>G26/E26*100</f>
        <v>114.97248896331251</v>
      </c>
      <c r="I26" s="39"/>
      <c r="J26" s="29"/>
      <c r="K26" s="39"/>
      <c r="L26" s="29"/>
      <c r="M26" s="33">
        <f>M18</f>
        <v>3485.8446080000003</v>
      </c>
      <c r="N26" s="51">
        <f t="shared" ref="N26" si="17">N18</f>
        <v>4990.6801999999989</v>
      </c>
      <c r="O26" s="21">
        <f t="shared" si="2"/>
        <v>132.15893857628981</v>
      </c>
      <c r="P26" s="39">
        <f>P18</f>
        <v>5191.0677999999989</v>
      </c>
      <c r="Q26" s="21">
        <f t="shared" si="3"/>
        <v>104.01523623974143</v>
      </c>
      <c r="R26" s="33">
        <f>R18</f>
        <v>5074.4567026506029</v>
      </c>
      <c r="S26" s="282">
        <f t="shared" si="4"/>
        <v>145.573233270489</v>
      </c>
      <c r="T26" s="282"/>
      <c r="U26" s="282"/>
      <c r="V26" s="282"/>
      <c r="W26" s="282"/>
      <c r="X26" s="282"/>
      <c r="Y26" s="282"/>
      <c r="Z26" s="29">
        <v>2730.99</v>
      </c>
      <c r="AA26" s="628"/>
      <c r="AB26" s="628"/>
      <c r="AC26" s="30" t="e">
        <f>#REF!+#REF!</f>
        <v>#REF!</v>
      </c>
      <c r="AD26" s="30" t="e">
        <f>#REF!+#REF!</f>
        <v>#REF!</v>
      </c>
      <c r="AE26" s="30" t="e">
        <f>#REF!+#REF!</f>
        <v>#REF!</v>
      </c>
      <c r="AF26" s="30" t="e">
        <f>#REF!+#REF!</f>
        <v>#REF!</v>
      </c>
      <c r="AG26" s="30" t="e">
        <f>AC26+AD26+AE26+AF26</f>
        <v>#REF!</v>
      </c>
      <c r="AH26" s="10" t="e">
        <f>E26*AC26+G26*AD26+I26*AE26+K26*AF26</f>
        <v>#REF!</v>
      </c>
      <c r="AI26" s="1" t="e">
        <f>AH26/AG26</f>
        <v>#REF!</v>
      </c>
      <c r="AK26" s="41" t="e">
        <f>AI26/C26*100</f>
        <v>#REF!</v>
      </c>
    </row>
    <row r="27" spans="1:42" ht="31.5" hidden="1" x14ac:dyDescent="0.2">
      <c r="A27" s="24" t="s">
        <v>37</v>
      </c>
      <c r="B27" s="24" t="s">
        <v>38</v>
      </c>
      <c r="C27" s="37">
        <v>3147.396905526316</v>
      </c>
      <c r="D27" s="38">
        <v>3284.5</v>
      </c>
      <c r="E27" s="39">
        <f>E26</f>
        <v>3284.5</v>
      </c>
      <c r="F27" s="27">
        <f t="shared" si="7"/>
        <v>100</v>
      </c>
      <c r="G27" s="39">
        <f>G26</f>
        <v>3776.2713999999992</v>
      </c>
      <c r="H27" s="40">
        <f>G27/E27*100</f>
        <v>114.97248896331251</v>
      </c>
      <c r="I27" s="39"/>
      <c r="J27" s="29"/>
      <c r="K27" s="39"/>
      <c r="L27" s="29"/>
      <c r="M27" s="33">
        <f>M26</f>
        <v>3485.8446080000003</v>
      </c>
      <c r="N27" s="51">
        <f t="shared" ref="N27:N28" si="18">N26</f>
        <v>4990.6801999999989</v>
      </c>
      <c r="O27" s="21">
        <f t="shared" si="2"/>
        <v>132.15893857628981</v>
      </c>
      <c r="P27" s="39">
        <f>P26</f>
        <v>5191.0677999999989</v>
      </c>
      <c r="Q27" s="21">
        <f t="shared" si="3"/>
        <v>104.01523623974143</v>
      </c>
      <c r="R27" s="33">
        <f>R26</f>
        <v>5074.4567026506029</v>
      </c>
      <c r="S27" s="282">
        <f t="shared" si="4"/>
        <v>145.573233270489</v>
      </c>
      <c r="T27" s="282"/>
      <c r="U27" s="282"/>
      <c r="V27" s="282"/>
      <c r="W27" s="282"/>
      <c r="X27" s="282"/>
      <c r="Y27" s="282"/>
      <c r="Z27" s="29">
        <f>Z26</f>
        <v>2730.99</v>
      </c>
      <c r="AA27" s="628"/>
      <c r="AB27" s="628"/>
      <c r="AC27" s="30" t="e">
        <f>#REF!</f>
        <v>#REF!</v>
      </c>
      <c r="AD27" s="30" t="e">
        <f>#REF!</f>
        <v>#REF!</v>
      </c>
      <c r="AE27" s="30" t="e">
        <f>#REF!</f>
        <v>#REF!</v>
      </c>
      <c r="AF27" s="30" t="e">
        <f>#REF!</f>
        <v>#REF!</v>
      </c>
      <c r="AG27" s="30" t="e">
        <f>AC27+AD27+AE27+AF27</f>
        <v>#REF!</v>
      </c>
      <c r="AH27" s="10" t="e">
        <f>E27*AC27+G27*AD27+I27*AE27+K27*AF27</f>
        <v>#REF!</v>
      </c>
      <c r="AI27" s="1" t="e">
        <f>AH27/AG27</f>
        <v>#REF!</v>
      </c>
      <c r="AJ27" s="30"/>
      <c r="AK27" s="30"/>
      <c r="AL27" s="30"/>
      <c r="AM27" s="30"/>
      <c r="AN27" s="30"/>
      <c r="AO27" s="30"/>
      <c r="AP27" s="30"/>
    </row>
    <row r="28" spans="1:42" ht="31.5" hidden="1" x14ac:dyDescent="0.2">
      <c r="A28" s="24" t="s">
        <v>39</v>
      </c>
      <c r="B28" s="24" t="s">
        <v>40</v>
      </c>
      <c r="C28" s="37">
        <v>3147.396905526316</v>
      </c>
      <c r="D28" s="38">
        <v>3284.5</v>
      </c>
      <c r="E28" s="39">
        <f>E27</f>
        <v>3284.5</v>
      </c>
      <c r="F28" s="27">
        <f t="shared" si="7"/>
        <v>100</v>
      </c>
      <c r="G28" s="39">
        <f>G27</f>
        <v>3776.2713999999992</v>
      </c>
      <c r="H28" s="40">
        <f>G28/E28*100</f>
        <v>114.97248896331251</v>
      </c>
      <c r="I28" s="39"/>
      <c r="J28" s="29"/>
      <c r="K28" s="39"/>
      <c r="L28" s="29"/>
      <c r="M28" s="33">
        <f>M27</f>
        <v>3485.8446080000003</v>
      </c>
      <c r="N28" s="51">
        <f t="shared" si="18"/>
        <v>4990.6801999999989</v>
      </c>
      <c r="O28" s="21">
        <f t="shared" si="2"/>
        <v>132.15893857628981</v>
      </c>
      <c r="P28" s="39">
        <f>P27</f>
        <v>5191.0677999999989</v>
      </c>
      <c r="Q28" s="21">
        <f t="shared" si="3"/>
        <v>104.01523623974143</v>
      </c>
      <c r="R28" s="33">
        <f>R27</f>
        <v>5074.4567026506029</v>
      </c>
      <c r="S28" s="282">
        <f t="shared" si="4"/>
        <v>145.573233270489</v>
      </c>
      <c r="T28" s="282"/>
      <c r="U28" s="282"/>
      <c r="V28" s="282"/>
      <c r="W28" s="282"/>
      <c r="X28" s="282"/>
      <c r="Y28" s="282"/>
      <c r="Z28" s="29">
        <f>Z26</f>
        <v>2730.99</v>
      </c>
      <c r="AA28" s="628"/>
      <c r="AB28" s="628"/>
      <c r="AC28" s="30" t="e">
        <f>#REF!</f>
        <v>#REF!</v>
      </c>
      <c r="AD28" s="30" t="e">
        <f>#REF!</f>
        <v>#REF!</v>
      </c>
      <c r="AE28" s="30" t="e">
        <f>#REF!</f>
        <v>#REF!</v>
      </c>
      <c r="AF28" s="30" t="e">
        <f>#REF!</f>
        <v>#REF!</v>
      </c>
      <c r="AG28" s="30" t="e">
        <f>AC28+AD28+AE28+AF28</f>
        <v>#REF!</v>
      </c>
      <c r="AH28" s="10" t="e">
        <f>E28*AC28+G28*AD28+I28*AE28+K28*AF28</f>
        <v>#REF!</v>
      </c>
      <c r="AI28" s="1" t="e">
        <f>AH28/AG28</f>
        <v>#REF!</v>
      </c>
    </row>
    <row r="29" spans="1:42" ht="19.5" customHeight="1" x14ac:dyDescent="0.2">
      <c r="A29" s="14"/>
      <c r="B29" s="14"/>
      <c r="C29" s="14"/>
      <c r="D29" s="14"/>
      <c r="E29" s="14"/>
      <c r="F29" s="42"/>
      <c r="G29" s="14"/>
      <c r="H29" s="42"/>
      <c r="I29" s="14"/>
      <c r="J29" s="42"/>
      <c r="K29" s="14"/>
      <c r="L29" s="42"/>
      <c r="M29" s="14"/>
      <c r="N29" s="14"/>
      <c r="O29" s="14"/>
      <c r="P29" s="14"/>
      <c r="Q29" s="14"/>
      <c r="R29" s="14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14"/>
      <c r="AD29" s="6"/>
      <c r="AE29" s="6"/>
      <c r="AF29" s="6"/>
      <c r="AG29" s="6"/>
      <c r="AH29" s="6"/>
    </row>
    <row r="30" spans="1:42" s="46" customFormat="1" ht="1.5" customHeight="1" x14ac:dyDescent="0.2">
      <c r="A30" s="43"/>
      <c r="B30" s="43"/>
      <c r="C30" s="43"/>
      <c r="D30" s="43"/>
      <c r="E30" s="43">
        <f>(2010-E26)*E10</f>
        <v>-308301.55</v>
      </c>
      <c r="F30" s="44"/>
      <c r="G30" s="43">
        <f>(2110-G26)*G10</f>
        <v>-280100.22233999986</v>
      </c>
      <c r="H30" s="44"/>
      <c r="I30" s="43">
        <f>(2230-I26)*I10</f>
        <v>0</v>
      </c>
      <c r="J30" s="44"/>
      <c r="K30" s="43">
        <f>(2330-K28)*K10</f>
        <v>0</v>
      </c>
      <c r="L30" s="44"/>
      <c r="M30" s="43">
        <f>E30+G30+I30+K30</f>
        <v>-588401.77233999991</v>
      </c>
      <c r="N30" s="43"/>
      <c r="O30" s="43"/>
      <c r="P30" s="43"/>
      <c r="Q30" s="43"/>
      <c r="R30" s="43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3" t="s">
        <v>33</v>
      </c>
      <c r="AD30" s="43"/>
      <c r="AE30" s="43"/>
      <c r="AF30" s="43"/>
      <c r="AG30" s="45" t="e">
        <f>AG26+AG27+AG28</f>
        <v>#REF!</v>
      </c>
      <c r="AH30" s="43" t="e">
        <f>AH26+AH27+AH28</f>
        <v>#REF!</v>
      </c>
      <c r="AI30" s="43" t="e">
        <f>AH30/AG30</f>
        <v>#REF!</v>
      </c>
    </row>
    <row r="31" spans="1:42" ht="9" customHeight="1" x14ac:dyDescent="0.2">
      <c r="R31" s="1"/>
    </row>
    <row r="32" spans="1:42" ht="39.75" customHeight="1" x14ac:dyDescent="0.2">
      <c r="A32" s="758" t="s">
        <v>255</v>
      </c>
      <c r="B32" s="758"/>
      <c r="C32" s="758"/>
      <c r="D32" s="658"/>
      <c r="E32" s="658"/>
      <c r="F32" s="658"/>
      <c r="G32" s="658"/>
      <c r="H32" s="658"/>
      <c r="I32" s="658"/>
      <c r="J32" s="659"/>
      <c r="K32" s="660"/>
      <c r="L32" s="659"/>
      <c r="M32" s="743" t="s">
        <v>256</v>
      </c>
      <c r="N32" s="743"/>
      <c r="O32" s="743"/>
      <c r="P32" s="743"/>
      <c r="Q32" s="743"/>
      <c r="R32" s="743"/>
      <c r="S32" s="743"/>
      <c r="T32" s="743"/>
      <c r="U32" s="743"/>
      <c r="V32" s="743"/>
      <c r="W32" s="743"/>
      <c r="X32" s="743"/>
      <c r="Y32" s="743"/>
      <c r="Z32" s="743"/>
      <c r="AA32" s="613"/>
      <c r="AB32" s="613"/>
      <c r="AC32" s="445" t="s">
        <v>43</v>
      </c>
      <c r="AD32" s="445"/>
      <c r="AH32" s="661"/>
      <c r="AI32" s="661"/>
    </row>
    <row r="33" spans="2:30" x14ac:dyDescent="0.2">
      <c r="R33" s="1"/>
      <c r="AC33" s="445"/>
      <c r="AD33" s="445">
        <v>138.09</v>
      </c>
    </row>
    <row r="34" spans="2:30" x14ac:dyDescent="0.2">
      <c r="B34" s="445"/>
      <c r="C34" s="445"/>
      <c r="D34" s="445"/>
      <c r="E34" s="445"/>
      <c r="F34" s="446"/>
      <c r="G34" s="445"/>
      <c r="H34" s="446"/>
      <c r="I34" s="445"/>
      <c r="J34" s="446"/>
      <c r="K34" s="445"/>
      <c r="L34" s="446"/>
      <c r="M34" s="445"/>
      <c r="R34" s="1"/>
      <c r="AC34" s="445"/>
      <c r="AD34" s="454">
        <f>M11+M12+AD33+M16</f>
        <v>2941.3244000000004</v>
      </c>
    </row>
    <row r="35" spans="2:30" x14ac:dyDescent="0.2">
      <c r="B35" s="572" t="s">
        <v>44</v>
      </c>
      <c r="C35" s="571"/>
      <c r="D35" s="445"/>
      <c r="E35" s="447">
        <f>(E14+E16)*1.18</f>
        <v>3284.0226000000002</v>
      </c>
      <c r="F35" s="445"/>
      <c r="G35" s="445">
        <f>(G14+G16)*1.18</f>
        <v>3776.2713999999992</v>
      </c>
      <c r="H35" s="445"/>
      <c r="I35" s="445">
        <f>(I14+I16)*1.18</f>
        <v>0</v>
      </c>
      <c r="J35" s="445"/>
      <c r="K35" s="445">
        <f>(K14+K16)*1.18</f>
        <v>0</v>
      </c>
      <c r="L35" s="445"/>
      <c r="M35" s="445">
        <f>(M14+M16)*1.18</f>
        <v>3485.8446080000003</v>
      </c>
      <c r="R35" s="1"/>
      <c r="V35" s="607"/>
      <c r="AC35" s="445"/>
      <c r="AD35" s="455">
        <f>AD34*1.18</f>
        <v>3470.7627920000004</v>
      </c>
    </row>
    <row r="36" spans="2:30" x14ac:dyDescent="0.2">
      <c r="B36" s="572"/>
      <c r="C36" s="571"/>
      <c r="D36" s="445"/>
      <c r="E36" s="447">
        <v>3776.2714000000001</v>
      </c>
      <c r="F36" s="446"/>
      <c r="G36" s="445"/>
      <c r="H36" s="446"/>
      <c r="I36" s="445"/>
      <c r="J36" s="446"/>
      <c r="K36" s="445"/>
      <c r="L36" s="446"/>
      <c r="M36" s="445"/>
      <c r="R36" s="1"/>
    </row>
    <row r="37" spans="2:30" x14ac:dyDescent="0.2">
      <c r="B37" s="445"/>
      <c r="C37" s="445"/>
      <c r="D37" s="445"/>
      <c r="E37" s="449">
        <f>(E10*E12+E10*E13)/E10</f>
        <v>661.07</v>
      </c>
      <c r="F37" s="448">
        <f>(G12*G10+G13*G10)/G10</f>
        <v>760.2299999999999</v>
      </c>
      <c r="G37" s="445"/>
      <c r="H37" s="446"/>
      <c r="I37" s="445"/>
      <c r="J37" s="446"/>
      <c r="K37" s="445"/>
      <c r="L37" s="446"/>
      <c r="M37" s="445"/>
      <c r="P37" s="574"/>
      <c r="R37" s="1"/>
    </row>
    <row r="38" spans="2:30" x14ac:dyDescent="0.2">
      <c r="B38" s="445"/>
      <c r="C38" s="445"/>
      <c r="D38" s="445"/>
      <c r="E38" s="449" t="s">
        <v>45</v>
      </c>
      <c r="F38" s="450" t="s">
        <v>46</v>
      </c>
      <c r="G38" s="445"/>
      <c r="H38" s="446"/>
      <c r="I38" s="445"/>
      <c r="J38" s="446"/>
      <c r="K38" s="445"/>
      <c r="L38" s="446"/>
      <c r="M38" s="445"/>
      <c r="R38" s="1"/>
    </row>
    <row r="39" spans="2:30" x14ac:dyDescent="0.2">
      <c r="E39" s="48"/>
      <c r="F39" s="49"/>
      <c r="R39" s="1"/>
    </row>
    <row r="40" spans="2:30" x14ac:dyDescent="0.2">
      <c r="R40" s="1"/>
    </row>
    <row r="41" spans="2:30" x14ac:dyDescent="0.2">
      <c r="R41" s="1"/>
    </row>
    <row r="42" spans="2:30" x14ac:dyDescent="0.2">
      <c r="I42" s="1">
        <f>K26/G26</f>
        <v>0</v>
      </c>
      <c r="R42" s="1"/>
    </row>
    <row r="43" spans="2:30" x14ac:dyDescent="0.2">
      <c r="R43" s="1"/>
    </row>
    <row r="44" spans="2:30" x14ac:dyDescent="0.2">
      <c r="R44" s="1"/>
    </row>
    <row r="45" spans="2:30" x14ac:dyDescent="0.2">
      <c r="B45" s="1" t="s">
        <v>47</v>
      </c>
      <c r="R45" s="1"/>
    </row>
    <row r="46" spans="2:30" x14ac:dyDescent="0.2">
      <c r="R46" s="1"/>
    </row>
    <row r="47" spans="2:30" x14ac:dyDescent="0.2">
      <c r="R47" s="1"/>
    </row>
    <row r="48" spans="2:30" x14ac:dyDescent="0.2">
      <c r="H48" s="744" t="s">
        <v>48</v>
      </c>
      <c r="I48" s="744"/>
      <c r="J48" s="744"/>
      <c r="K48" s="744"/>
      <c r="L48" s="744"/>
      <c r="M48" s="744"/>
      <c r="N48" s="456"/>
      <c r="O48" s="456"/>
      <c r="P48" s="456"/>
      <c r="Q48" s="456"/>
      <c r="R48" s="456"/>
      <c r="S48" s="446">
        <f>'[2]по выпадающим'!N16/(E10+G10)/1.18</f>
        <v>37.497363753164144</v>
      </c>
    </row>
    <row r="49" spans="18:18" x14ac:dyDescent="0.2">
      <c r="R49" s="1"/>
    </row>
    <row r="50" spans="18:18" x14ac:dyDescent="0.2">
      <c r="R50" s="1"/>
    </row>
    <row r="51" spans="18:18" x14ac:dyDescent="0.2">
      <c r="R51" s="1"/>
    </row>
    <row r="52" spans="18:18" x14ac:dyDescent="0.2">
      <c r="R52" s="1"/>
    </row>
    <row r="53" spans="18:18" x14ac:dyDescent="0.2">
      <c r="R53" s="1"/>
    </row>
    <row r="54" spans="18:18" x14ac:dyDescent="0.2">
      <c r="R54" s="1"/>
    </row>
    <row r="55" spans="18:18" x14ac:dyDescent="0.2">
      <c r="R55" s="1"/>
    </row>
    <row r="56" spans="18:18" x14ac:dyDescent="0.2">
      <c r="R56" s="1"/>
    </row>
    <row r="57" spans="18:18" x14ac:dyDescent="0.2">
      <c r="R57" s="1"/>
    </row>
    <row r="58" spans="18:18" x14ac:dyDescent="0.2">
      <c r="R58" s="1"/>
    </row>
    <row r="59" spans="18:18" x14ac:dyDescent="0.2">
      <c r="R59" s="1"/>
    </row>
    <row r="60" spans="18:18" x14ac:dyDescent="0.2">
      <c r="R60" s="1"/>
    </row>
    <row r="61" spans="18:18" x14ac:dyDescent="0.2">
      <c r="R61" s="1"/>
    </row>
    <row r="62" spans="18:18" x14ac:dyDescent="0.2">
      <c r="R62" s="1"/>
    </row>
    <row r="63" spans="18:18" x14ac:dyDescent="0.2">
      <c r="R63" s="1"/>
    </row>
    <row r="64" spans="18:18" x14ac:dyDescent="0.2">
      <c r="R64" s="1"/>
    </row>
    <row r="65" spans="18:18" x14ac:dyDescent="0.2">
      <c r="R65" s="1"/>
    </row>
    <row r="66" spans="18:18" x14ac:dyDescent="0.2">
      <c r="R66" s="1"/>
    </row>
    <row r="67" spans="18:18" x14ac:dyDescent="0.2">
      <c r="R67" s="1"/>
    </row>
  </sheetData>
  <mergeCells count="21">
    <mergeCell ref="M32:Z32"/>
    <mergeCell ref="AH32:AI32"/>
    <mergeCell ref="H48:M48"/>
    <mergeCell ref="N7:R7"/>
    <mergeCell ref="A7:A8"/>
    <mergeCell ref="B7:B8"/>
    <mergeCell ref="C7:D7"/>
    <mergeCell ref="E7:M7"/>
    <mergeCell ref="S7:S8"/>
    <mergeCell ref="Z7:Z8"/>
    <mergeCell ref="AC24:AF24"/>
    <mergeCell ref="A32:C32"/>
    <mergeCell ref="T7:Y7"/>
    <mergeCell ref="AC7:AD7"/>
    <mergeCell ref="AA7:AB7"/>
    <mergeCell ref="A6:X6"/>
    <mergeCell ref="M1:S1"/>
    <mergeCell ref="AH1:AI1"/>
    <mergeCell ref="M2:S2"/>
    <mergeCell ref="A3:Z3"/>
    <mergeCell ref="X5:AA5"/>
  </mergeCells>
  <printOptions horizontalCentered="1"/>
  <pageMargins left="0" right="0" top="0" bottom="0" header="0" footer="0"/>
  <pageSetup paperSize="9" scale="6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A79"/>
  <sheetViews>
    <sheetView view="pageBreakPreview" zoomScale="60" zoomScaleNormal="80" workbookViewId="0">
      <selection activeCell="T6" sqref="T6"/>
    </sheetView>
  </sheetViews>
  <sheetFormatPr defaultRowHeight="18.75" x14ac:dyDescent="0.3"/>
  <cols>
    <col min="1" max="1" width="5.7109375" style="358" customWidth="1"/>
    <col min="2" max="2" width="72.42578125" style="358" customWidth="1"/>
    <col min="3" max="3" width="14.42578125" style="358" hidden="1" customWidth="1"/>
    <col min="4" max="4" width="14.5703125" style="358" hidden="1" customWidth="1"/>
    <col min="5" max="5" width="18.5703125" style="358" hidden="1" customWidth="1"/>
    <col min="6" max="6" width="16.85546875" style="358" hidden="1" customWidth="1"/>
    <col min="7" max="7" width="16.5703125" style="359" hidden="1" customWidth="1"/>
    <col min="8" max="8" width="18.7109375" style="359" hidden="1" customWidth="1"/>
    <col min="9" max="9" width="16.5703125" style="358" hidden="1" customWidth="1"/>
    <col min="10" max="10" width="21.28515625" style="358" hidden="1" customWidth="1"/>
    <col min="11" max="11" width="18.85546875" style="358" hidden="1" customWidth="1"/>
    <col min="12" max="12" width="19.28515625" style="358" hidden="1" customWidth="1"/>
    <col min="13" max="13" width="16.85546875" style="358" hidden="1" customWidth="1"/>
    <col min="14" max="19" width="0" style="358" hidden="1" customWidth="1"/>
    <col min="20" max="20" width="23.7109375" style="358" customWidth="1"/>
    <col min="21" max="16384" width="9.140625" style="358"/>
  </cols>
  <sheetData>
    <row r="1" spans="1:27" x14ac:dyDescent="0.3">
      <c r="E1" s="761"/>
      <c r="F1" s="761"/>
      <c r="G1" s="761"/>
      <c r="H1" s="761"/>
      <c r="I1" s="761"/>
      <c r="J1" s="761"/>
      <c r="K1" s="761"/>
      <c r="L1" s="761"/>
      <c r="M1" s="761"/>
      <c r="N1" s="761"/>
      <c r="O1" s="761"/>
      <c r="P1" s="761"/>
      <c r="Q1" s="761"/>
      <c r="R1" s="761"/>
      <c r="S1" s="761"/>
      <c r="T1" s="761"/>
    </row>
    <row r="2" spans="1:27" ht="111" customHeight="1" x14ac:dyDescent="0.3">
      <c r="A2" s="360"/>
      <c r="B2" s="361"/>
      <c r="C2" s="360"/>
      <c r="D2" s="765" t="s">
        <v>270</v>
      </c>
      <c r="E2" s="765"/>
      <c r="F2" s="765"/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R2" s="765"/>
      <c r="S2" s="765"/>
      <c r="T2" s="765"/>
    </row>
    <row r="3" spans="1:27" ht="71.25" customHeight="1" x14ac:dyDescent="0.3">
      <c r="A3" s="708" t="s">
        <v>263</v>
      </c>
      <c r="B3" s="708"/>
      <c r="C3" s="708"/>
      <c r="D3" s="708"/>
      <c r="E3" s="708"/>
      <c r="F3" s="708"/>
      <c r="G3" s="708"/>
      <c r="H3" s="708"/>
      <c r="I3" s="708"/>
      <c r="J3" s="708"/>
      <c r="K3" s="708"/>
      <c r="L3" s="708"/>
      <c r="M3" s="708"/>
      <c r="N3" s="708"/>
      <c r="O3" s="708"/>
      <c r="P3" s="708"/>
      <c r="Q3" s="708"/>
      <c r="R3" s="708"/>
      <c r="S3" s="708"/>
      <c r="T3" s="708"/>
    </row>
    <row r="4" spans="1:27" ht="26.25" customHeight="1" thickBot="1" x14ac:dyDescent="0.35">
      <c r="A4" s="459"/>
      <c r="B4" s="459"/>
      <c r="C4" s="459"/>
      <c r="D4" s="459"/>
      <c r="E4" s="762" t="s">
        <v>218</v>
      </c>
      <c r="F4" s="762"/>
      <c r="G4" s="762"/>
      <c r="H4" s="762"/>
      <c r="I4" s="762"/>
      <c r="J4" s="762"/>
      <c r="K4" s="364"/>
      <c r="S4" s="365"/>
      <c r="T4" s="569" t="s">
        <v>218</v>
      </c>
    </row>
    <row r="5" spans="1:27" ht="84" customHeight="1" x14ac:dyDescent="0.3">
      <c r="A5" s="774" t="s">
        <v>1</v>
      </c>
      <c r="B5" s="770" t="s">
        <v>240</v>
      </c>
      <c r="C5" s="502"/>
      <c r="D5" s="770" t="s">
        <v>226</v>
      </c>
      <c r="E5" s="502" t="s">
        <v>227</v>
      </c>
      <c r="F5" s="770" t="s">
        <v>264</v>
      </c>
      <c r="G5" s="770"/>
      <c r="H5" s="770"/>
      <c r="I5" s="770"/>
      <c r="J5" s="770"/>
      <c r="K5" s="770"/>
      <c r="L5" s="770"/>
      <c r="M5" s="770"/>
      <c r="N5" s="770"/>
      <c r="O5" s="770"/>
      <c r="P5" s="770"/>
      <c r="Q5" s="770"/>
      <c r="R5" s="770"/>
      <c r="S5" s="770"/>
      <c r="T5" s="771"/>
      <c r="Z5" s="766" t="s">
        <v>227</v>
      </c>
      <c r="AA5" s="767"/>
    </row>
    <row r="6" spans="1:27" ht="33" customHeight="1" x14ac:dyDescent="0.3">
      <c r="A6" s="775"/>
      <c r="B6" s="776"/>
      <c r="C6" s="461" t="s">
        <v>50</v>
      </c>
      <c r="D6" s="776"/>
      <c r="E6" s="366"/>
      <c r="F6" s="461" t="s">
        <v>260</v>
      </c>
      <c r="G6" s="461" t="s">
        <v>210</v>
      </c>
      <c r="H6" s="461" t="s">
        <v>211</v>
      </c>
      <c r="I6" s="461" t="s">
        <v>216</v>
      </c>
      <c r="J6" s="461" t="s">
        <v>189</v>
      </c>
      <c r="K6" s="362"/>
      <c r="L6" s="362"/>
      <c r="M6" s="362"/>
      <c r="N6" s="362"/>
      <c r="O6" s="362"/>
      <c r="P6" s="362"/>
      <c r="Q6" s="362"/>
      <c r="R6" s="362"/>
      <c r="S6" s="363"/>
      <c r="T6" s="535" t="s">
        <v>269</v>
      </c>
      <c r="Z6" s="768"/>
      <c r="AA6" s="769"/>
    </row>
    <row r="7" spans="1:27" s="367" customFormat="1" ht="18.75" customHeight="1" x14ac:dyDescent="0.3">
      <c r="A7" s="503">
        <v>1</v>
      </c>
      <c r="B7" s="501">
        <v>2</v>
      </c>
      <c r="C7" s="501"/>
      <c r="D7" s="501"/>
      <c r="E7" s="501">
        <v>3</v>
      </c>
      <c r="F7" s="501">
        <v>3</v>
      </c>
      <c r="G7" s="501"/>
      <c r="H7" s="501"/>
      <c r="I7" s="501">
        <v>5</v>
      </c>
      <c r="J7" s="501">
        <v>6</v>
      </c>
      <c r="K7" s="490"/>
      <c r="L7" s="490"/>
      <c r="M7" s="490"/>
      <c r="N7" s="490"/>
      <c r="O7" s="490"/>
      <c r="P7" s="490"/>
      <c r="Q7" s="490"/>
      <c r="R7" s="490"/>
      <c r="S7" s="490"/>
      <c r="T7" s="504">
        <v>4</v>
      </c>
      <c r="U7" s="491"/>
      <c r="V7" s="491"/>
      <c r="W7" s="491"/>
      <c r="X7" s="491"/>
      <c r="Y7" s="491"/>
      <c r="Z7" s="491"/>
      <c r="AA7" s="491"/>
    </row>
    <row r="8" spans="1:27" hidden="1" x14ac:dyDescent="0.3">
      <c r="A8" s="505">
        <v>1</v>
      </c>
      <c r="B8" s="368" t="s">
        <v>14</v>
      </c>
      <c r="C8" s="368"/>
      <c r="D8" s="368"/>
      <c r="E8" s="369" t="e">
        <f>#REF!</f>
        <v>#REF!</v>
      </c>
      <c r="F8" s="369">
        <f>'прил к эксп 3'!P10</f>
        <v>173.5</v>
      </c>
      <c r="G8" s="369" t="e">
        <f>E8</f>
        <v>#REF!</v>
      </c>
      <c r="H8" s="369" t="e">
        <f>G8/F8*100</f>
        <v>#REF!</v>
      </c>
      <c r="I8" s="370" t="e">
        <f>F8/E8*100</f>
        <v>#REF!</v>
      </c>
      <c r="J8" s="369">
        <f>'прил к эксп 3'!R10</f>
        <v>415</v>
      </c>
      <c r="K8" s="375" t="e">
        <f>'приложение к постановлению'!E8*100/'приложение к постановлению'!E8</f>
        <v>#REF!</v>
      </c>
      <c r="L8" s="375">
        <f>'приложение к постановлению'!F8*100/'приложение к постановлению'!F8</f>
        <v>100</v>
      </c>
      <c r="M8" s="375">
        <f>J8*100/J8</f>
        <v>100</v>
      </c>
      <c r="N8" s="375"/>
      <c r="O8" s="375"/>
      <c r="P8" s="375"/>
      <c r="Q8" s="375"/>
      <c r="R8" s="375"/>
      <c r="S8" s="375"/>
      <c r="T8" s="506">
        <v>166.4</v>
      </c>
    </row>
    <row r="9" spans="1:27" ht="108.75" hidden="1" customHeight="1" x14ac:dyDescent="0.3">
      <c r="A9" s="505"/>
      <c r="B9" s="368" t="s">
        <v>214</v>
      </c>
      <c r="C9" s="368"/>
      <c r="D9" s="368"/>
      <c r="E9" s="369" t="e">
        <f>#REF!</f>
        <v>#REF!</v>
      </c>
      <c r="F9" s="369" t="e">
        <f>#REF!</f>
        <v>#REF!</v>
      </c>
      <c r="G9" s="369" t="e">
        <f t="shared" ref="G9:G11" si="0">E9</f>
        <v>#REF!</v>
      </c>
      <c r="H9" s="369" t="e">
        <f t="shared" ref="H9:H40" si="1">G9/F9*100</f>
        <v>#REF!</v>
      </c>
      <c r="I9" s="370" t="e">
        <f t="shared" ref="I9:I40" si="2">F9/E9*100</f>
        <v>#REF!</v>
      </c>
      <c r="J9" s="369" t="e">
        <f>#REF!</f>
        <v>#REF!</v>
      </c>
      <c r="K9" s="375" t="e">
        <f>E9*100/245</f>
        <v>#REF!</v>
      </c>
      <c r="L9" s="375" t="e">
        <f>F9*100/F8</f>
        <v>#REF!</v>
      </c>
      <c r="M9" s="375" t="e">
        <f>J9*100/J8</f>
        <v>#REF!</v>
      </c>
      <c r="N9" s="375"/>
      <c r="O9" s="375"/>
      <c r="P9" s="375"/>
      <c r="Q9" s="375"/>
      <c r="R9" s="375"/>
      <c r="S9" s="375"/>
      <c r="T9" s="506">
        <v>12.05</v>
      </c>
    </row>
    <row r="10" spans="1:27" ht="93.75" hidden="1" x14ac:dyDescent="0.3">
      <c r="A10" s="505"/>
      <c r="B10" s="368" t="s">
        <v>200</v>
      </c>
      <c r="C10" s="368"/>
      <c r="D10" s="368"/>
      <c r="E10" s="369" t="e">
        <f>#REF!+#REF!</f>
        <v>#REF!</v>
      </c>
      <c r="F10" s="369" t="e">
        <f>#REF!+#REF!</f>
        <v>#REF!</v>
      </c>
      <c r="G10" s="369" t="e">
        <f t="shared" si="0"/>
        <v>#REF!</v>
      </c>
      <c r="H10" s="369" t="e">
        <f t="shared" si="1"/>
        <v>#REF!</v>
      </c>
      <c r="I10" s="370" t="e">
        <f t="shared" si="2"/>
        <v>#REF!</v>
      </c>
      <c r="J10" s="369" t="e">
        <f>#REF!+#REF!</f>
        <v>#REF!</v>
      </c>
      <c r="K10" s="375" t="e">
        <f>E10*100/E8</f>
        <v>#REF!</v>
      </c>
      <c r="L10" s="507" t="e">
        <f>F10*100/F8</f>
        <v>#REF!</v>
      </c>
      <c r="M10" s="375" t="e">
        <f>J10*100/J8</f>
        <v>#REF!</v>
      </c>
      <c r="N10" s="375"/>
      <c r="O10" s="375"/>
      <c r="P10" s="375"/>
      <c r="Q10" s="375"/>
      <c r="R10" s="375"/>
      <c r="S10" s="375"/>
      <c r="T10" s="506">
        <v>6.05</v>
      </c>
    </row>
    <row r="11" spans="1:27" ht="35.25" hidden="1" customHeight="1" x14ac:dyDescent="0.3">
      <c r="A11" s="505"/>
      <c r="B11" s="368" t="s">
        <v>215</v>
      </c>
      <c r="C11" s="368"/>
      <c r="D11" s="368"/>
      <c r="E11" s="369" t="e">
        <f>#REF!+#REF!+#REF!</f>
        <v>#REF!</v>
      </c>
      <c r="F11" s="369" t="e">
        <f>#REF!+#REF!+#REF!</f>
        <v>#REF!</v>
      </c>
      <c r="G11" s="369" t="e">
        <f t="shared" si="0"/>
        <v>#REF!</v>
      </c>
      <c r="H11" s="369" t="e">
        <f t="shared" si="1"/>
        <v>#REF!</v>
      </c>
      <c r="I11" s="370" t="e">
        <f t="shared" si="2"/>
        <v>#REF!</v>
      </c>
      <c r="J11" s="369" t="e">
        <f>#REF!+#REF!+#REF!</f>
        <v>#REF!</v>
      </c>
      <c r="K11" s="375" t="e">
        <f>E11*100/E8</f>
        <v>#REF!</v>
      </c>
      <c r="L11" s="375" t="e">
        <f>F11*100/F8</f>
        <v>#REF!</v>
      </c>
      <c r="M11" s="375" t="e">
        <f>J11*100/J8</f>
        <v>#REF!</v>
      </c>
      <c r="N11" s="375"/>
      <c r="O11" s="375"/>
      <c r="P11" s="375"/>
      <c r="Q11" s="375"/>
      <c r="R11" s="375"/>
      <c r="S11" s="375"/>
      <c r="T11" s="506">
        <v>148.1</v>
      </c>
    </row>
    <row r="12" spans="1:27" hidden="1" x14ac:dyDescent="0.3">
      <c r="A12" s="505">
        <v>2</v>
      </c>
      <c r="B12" s="368" t="s">
        <v>15</v>
      </c>
      <c r="C12" s="368"/>
      <c r="D12" s="368"/>
      <c r="E12" s="369">
        <f>'прил к эксп 3'!N11</f>
        <v>3206</v>
      </c>
      <c r="F12" s="369">
        <f>'прил к эксп 3'!P11</f>
        <v>3331</v>
      </c>
      <c r="G12" s="369">
        <f>F12</f>
        <v>3331</v>
      </c>
      <c r="H12" s="369">
        <f t="shared" si="1"/>
        <v>100</v>
      </c>
      <c r="I12" s="370">
        <f t="shared" si="2"/>
        <v>103.89893948845913</v>
      </c>
      <c r="J12" s="369">
        <f>'прил к эксп 3'!R11</f>
        <v>3258.2590361445782</v>
      </c>
      <c r="K12" s="375"/>
      <c r="L12" s="375"/>
      <c r="M12" s="375"/>
      <c r="N12" s="375"/>
      <c r="O12" s="375"/>
      <c r="P12" s="375"/>
      <c r="Q12" s="375"/>
      <c r="R12" s="375"/>
      <c r="S12" s="375"/>
      <c r="T12" s="508">
        <v>2924</v>
      </c>
    </row>
    <row r="13" spans="1:27" hidden="1" x14ac:dyDescent="0.3">
      <c r="A13" s="505">
        <v>3</v>
      </c>
      <c r="B13" s="368" t="s">
        <v>16</v>
      </c>
      <c r="C13" s="368"/>
      <c r="D13" s="368"/>
      <c r="E13" s="369">
        <f>'прил к эксп 3'!N12</f>
        <v>817.28</v>
      </c>
      <c r="F13" s="369">
        <f>'прил к эксп 3'!P12</f>
        <v>854.06</v>
      </c>
      <c r="G13" s="369">
        <f t="shared" ref="G13:G14" si="3">F13</f>
        <v>854.06</v>
      </c>
      <c r="H13" s="369">
        <f t="shared" si="1"/>
        <v>100</v>
      </c>
      <c r="I13" s="370">
        <f t="shared" si="2"/>
        <v>104.50029365700861</v>
      </c>
      <c r="J13" s="369">
        <f>'прил к эксп 3'!R12</f>
        <v>832.65669879518077</v>
      </c>
      <c r="K13" s="375"/>
      <c r="L13" s="375"/>
      <c r="M13" s="375"/>
      <c r="N13" s="375"/>
      <c r="O13" s="375"/>
      <c r="P13" s="375"/>
      <c r="Q13" s="375"/>
      <c r="R13" s="375"/>
      <c r="S13" s="375"/>
      <c r="T13" s="506">
        <v>720.62</v>
      </c>
    </row>
    <row r="14" spans="1:27" hidden="1" x14ac:dyDescent="0.3">
      <c r="A14" s="505">
        <v>4</v>
      </c>
      <c r="B14" s="368" t="s">
        <v>17</v>
      </c>
      <c r="C14" s="368"/>
      <c r="D14" s="368"/>
      <c r="E14" s="369">
        <f>'прил к эксп 3'!N13</f>
        <v>206.11</v>
      </c>
      <c r="F14" s="369">
        <f>'прил к эксп 3'!P13</f>
        <v>214.15</v>
      </c>
      <c r="G14" s="369">
        <f t="shared" si="3"/>
        <v>214.15</v>
      </c>
      <c r="H14" s="369">
        <f t="shared" si="1"/>
        <v>100</v>
      </c>
      <c r="I14" s="370">
        <f t="shared" si="2"/>
        <v>103.90082965406822</v>
      </c>
      <c r="J14" s="369">
        <f>'прил к эксп 3'!R13</f>
        <v>209.47130120481927</v>
      </c>
      <c r="K14" s="375"/>
      <c r="L14" s="375"/>
      <c r="M14" s="375"/>
      <c r="N14" s="375"/>
      <c r="O14" s="375"/>
      <c r="P14" s="375"/>
      <c r="Q14" s="375"/>
      <c r="R14" s="375"/>
      <c r="S14" s="375"/>
      <c r="T14" s="506">
        <v>187.97</v>
      </c>
    </row>
    <row r="15" spans="1:27" s="372" customFormat="1" hidden="1" x14ac:dyDescent="0.3">
      <c r="A15" s="505">
        <v>5</v>
      </c>
      <c r="B15" s="371" t="s">
        <v>114</v>
      </c>
      <c r="C15" s="371"/>
      <c r="D15" s="371"/>
      <c r="E15" s="369" t="e">
        <f>(E14*E8+E8*E13)/E8</f>
        <v>#REF!</v>
      </c>
      <c r="F15" s="369">
        <f t="shared" ref="F15:T15" si="4">(F14*F8+F8*F13)/F8</f>
        <v>1068.21</v>
      </c>
      <c r="G15" s="369" t="e">
        <f t="shared" si="4"/>
        <v>#REF!</v>
      </c>
      <c r="H15" s="369" t="e">
        <f t="shared" si="4"/>
        <v>#REF!</v>
      </c>
      <c r="I15" s="369" t="e">
        <f t="shared" si="4"/>
        <v>#REF!</v>
      </c>
      <c r="J15" s="369">
        <f t="shared" si="4"/>
        <v>1042.1279999999999</v>
      </c>
      <c r="K15" s="369" t="e">
        <f t="shared" si="4"/>
        <v>#REF!</v>
      </c>
      <c r="L15" s="369">
        <f t="shared" si="4"/>
        <v>0</v>
      </c>
      <c r="M15" s="369">
        <f t="shared" si="4"/>
        <v>0</v>
      </c>
      <c r="N15" s="369" t="e">
        <f t="shared" si="4"/>
        <v>#DIV/0!</v>
      </c>
      <c r="O15" s="369" t="e">
        <f t="shared" si="4"/>
        <v>#DIV/0!</v>
      </c>
      <c r="P15" s="369" t="e">
        <f t="shared" si="4"/>
        <v>#DIV/0!</v>
      </c>
      <c r="Q15" s="369" t="e">
        <f t="shared" si="4"/>
        <v>#DIV/0!</v>
      </c>
      <c r="R15" s="369" t="e">
        <f t="shared" si="4"/>
        <v>#DIV/0!</v>
      </c>
      <c r="S15" s="369" t="e">
        <f t="shared" si="4"/>
        <v>#DIV/0!</v>
      </c>
      <c r="T15" s="509">
        <f t="shared" si="4"/>
        <v>908.59</v>
      </c>
    </row>
    <row r="16" spans="1:27" hidden="1" x14ac:dyDescent="0.3">
      <c r="A16" s="505">
        <v>6</v>
      </c>
      <c r="B16" s="371" t="s">
        <v>116</v>
      </c>
      <c r="C16" s="371"/>
      <c r="D16" s="371"/>
      <c r="E16" s="369" t="e">
        <f>(E12+E15)</f>
        <v>#REF!</v>
      </c>
      <c r="F16" s="369">
        <f>(F12+F15)</f>
        <v>4399.21</v>
      </c>
      <c r="G16" s="369" t="e">
        <f t="shared" ref="G16:T16" si="5">(G12+G15)</f>
        <v>#REF!</v>
      </c>
      <c r="H16" s="369" t="e">
        <f t="shared" si="5"/>
        <v>#REF!</v>
      </c>
      <c r="I16" s="369" t="e">
        <f t="shared" si="5"/>
        <v>#REF!</v>
      </c>
      <c r="J16" s="369">
        <f t="shared" si="5"/>
        <v>4300.3870361445779</v>
      </c>
      <c r="K16" s="369" t="e">
        <f t="shared" si="5"/>
        <v>#REF!</v>
      </c>
      <c r="L16" s="369">
        <f t="shared" si="5"/>
        <v>0</v>
      </c>
      <c r="M16" s="369">
        <f t="shared" si="5"/>
        <v>0</v>
      </c>
      <c r="N16" s="369" t="e">
        <f t="shared" si="5"/>
        <v>#DIV/0!</v>
      </c>
      <c r="O16" s="369" t="e">
        <f t="shared" si="5"/>
        <v>#DIV/0!</v>
      </c>
      <c r="P16" s="369" t="e">
        <f t="shared" si="5"/>
        <v>#DIV/0!</v>
      </c>
      <c r="Q16" s="369" t="e">
        <f t="shared" si="5"/>
        <v>#DIV/0!</v>
      </c>
      <c r="R16" s="369" t="e">
        <f t="shared" si="5"/>
        <v>#DIV/0!</v>
      </c>
      <c r="S16" s="369" t="e">
        <f t="shared" si="5"/>
        <v>#DIV/0!</v>
      </c>
      <c r="T16" s="509">
        <f t="shared" si="5"/>
        <v>3832.59</v>
      </c>
    </row>
    <row r="17" spans="1:26" s="372" customFormat="1" hidden="1" x14ac:dyDescent="0.3">
      <c r="A17" s="505">
        <v>7</v>
      </c>
      <c r="B17" s="371" t="s">
        <v>117</v>
      </c>
      <c r="C17" s="371"/>
      <c r="D17" s="371"/>
      <c r="E17" s="369" t="e">
        <f>E16*$S$3</f>
        <v>#REF!</v>
      </c>
      <c r="F17" s="369">
        <f t="shared" ref="F17:T17" si="6">F16*$S$3</f>
        <v>0</v>
      </c>
      <c r="G17" s="369" t="e">
        <f t="shared" si="6"/>
        <v>#REF!</v>
      </c>
      <c r="H17" s="369" t="e">
        <f t="shared" si="6"/>
        <v>#REF!</v>
      </c>
      <c r="I17" s="369" t="e">
        <f t="shared" si="6"/>
        <v>#REF!</v>
      </c>
      <c r="J17" s="369">
        <f t="shared" si="6"/>
        <v>0</v>
      </c>
      <c r="K17" s="369" t="e">
        <f t="shared" si="6"/>
        <v>#REF!</v>
      </c>
      <c r="L17" s="369">
        <f t="shared" si="6"/>
        <v>0</v>
      </c>
      <c r="M17" s="369">
        <f t="shared" si="6"/>
        <v>0</v>
      </c>
      <c r="N17" s="369" t="e">
        <f t="shared" si="6"/>
        <v>#DIV/0!</v>
      </c>
      <c r="O17" s="369" t="e">
        <f t="shared" si="6"/>
        <v>#DIV/0!</v>
      </c>
      <c r="P17" s="369" t="e">
        <f t="shared" si="6"/>
        <v>#DIV/0!</v>
      </c>
      <c r="Q17" s="369" t="e">
        <f t="shared" si="6"/>
        <v>#DIV/0!</v>
      </c>
      <c r="R17" s="369" t="e">
        <f t="shared" si="6"/>
        <v>#DIV/0!</v>
      </c>
      <c r="S17" s="369" t="e">
        <f t="shared" si="6"/>
        <v>#DIV/0!</v>
      </c>
      <c r="T17" s="509">
        <f t="shared" si="6"/>
        <v>0</v>
      </c>
    </row>
    <row r="18" spans="1:26" s="372" customFormat="1" hidden="1" x14ac:dyDescent="0.3">
      <c r="A18" s="505">
        <v>8</v>
      </c>
      <c r="B18" s="371" t="s">
        <v>118</v>
      </c>
      <c r="C18" s="371"/>
      <c r="D18" s="371"/>
      <c r="E18" s="369" t="e">
        <f>E15*E8/(E9*E20+E10*E21+E11*E22)</f>
        <v>#REF!</v>
      </c>
      <c r="F18" s="369" t="e">
        <f t="shared" ref="F18:S18" si="7">F15*F8/(F9*F20+F10*F21+F11*F22)</f>
        <v>#REF!</v>
      </c>
      <c r="G18" s="369" t="e">
        <f t="shared" si="7"/>
        <v>#REF!</v>
      </c>
      <c r="H18" s="369" t="e">
        <f t="shared" si="7"/>
        <v>#REF!</v>
      </c>
      <c r="I18" s="369" t="e">
        <f t="shared" si="7"/>
        <v>#REF!</v>
      </c>
      <c r="J18" s="369" t="e">
        <f t="shared" si="7"/>
        <v>#REF!</v>
      </c>
      <c r="K18" s="369" t="e">
        <f t="shared" si="7"/>
        <v>#REF!</v>
      </c>
      <c r="L18" s="369" t="e">
        <f t="shared" si="7"/>
        <v>#REF!</v>
      </c>
      <c r="M18" s="369" t="e">
        <f t="shared" si="7"/>
        <v>#REF!</v>
      </c>
      <c r="N18" s="369" t="e">
        <f t="shared" si="7"/>
        <v>#DIV/0!</v>
      </c>
      <c r="O18" s="369" t="e">
        <f t="shared" si="7"/>
        <v>#DIV/0!</v>
      </c>
      <c r="P18" s="369" t="e">
        <f t="shared" si="7"/>
        <v>#DIV/0!</v>
      </c>
      <c r="Q18" s="369" t="e">
        <f t="shared" si="7"/>
        <v>#DIV/0!</v>
      </c>
      <c r="R18" s="369" t="e">
        <f t="shared" si="7"/>
        <v>#DIV/0!</v>
      </c>
      <c r="S18" s="369" t="e">
        <f t="shared" si="7"/>
        <v>#DIV/0!</v>
      </c>
      <c r="T18" s="509">
        <f>'прил к эксп 2'!K19</f>
        <v>685.78125</v>
      </c>
    </row>
    <row r="19" spans="1:26" hidden="1" x14ac:dyDescent="0.3">
      <c r="A19" s="510"/>
      <c r="B19" s="371" t="s">
        <v>119</v>
      </c>
      <c r="C19" s="371"/>
      <c r="D19" s="371"/>
      <c r="E19" s="369"/>
      <c r="F19" s="369"/>
      <c r="G19" s="369"/>
      <c r="H19" s="369" t="e">
        <f t="shared" si="1"/>
        <v>#DIV/0!</v>
      </c>
      <c r="I19" s="370"/>
      <c r="J19" s="369"/>
      <c r="K19" s="375"/>
      <c r="L19" s="375"/>
      <c r="M19" s="375"/>
      <c r="N19" s="375"/>
      <c r="O19" s="375"/>
      <c r="P19" s="375"/>
      <c r="Q19" s="375"/>
      <c r="R19" s="375"/>
      <c r="S19" s="375"/>
      <c r="T19" s="506"/>
    </row>
    <row r="20" spans="1:26" ht="81" hidden="1" customHeight="1" x14ac:dyDescent="0.3">
      <c r="A20" s="510"/>
      <c r="B20" s="368" t="s">
        <v>214</v>
      </c>
      <c r="C20" s="371"/>
      <c r="D20" s="371"/>
      <c r="E20" s="369">
        <v>1</v>
      </c>
      <c r="F20" s="369">
        <v>1.6</v>
      </c>
      <c r="G20" s="369">
        <v>1.7</v>
      </c>
      <c r="H20" s="369">
        <f t="shared" si="1"/>
        <v>106.25</v>
      </c>
      <c r="I20" s="370">
        <f t="shared" si="2"/>
        <v>160</v>
      </c>
      <c r="J20" s="369" t="e">
        <f>(E20*E9+F20*F9)/J9</f>
        <v>#REF!</v>
      </c>
      <c r="K20" s="375"/>
      <c r="L20" s="373" t="s">
        <v>195</v>
      </c>
      <c r="M20" s="373" t="s">
        <v>208</v>
      </c>
      <c r="N20" s="375"/>
      <c r="O20" s="375"/>
      <c r="P20" s="375"/>
      <c r="Q20" s="375"/>
      <c r="R20" s="375"/>
      <c r="S20" s="375"/>
      <c r="T20" s="511">
        <v>1.6</v>
      </c>
    </row>
    <row r="21" spans="1:26" ht="93.75" hidden="1" x14ac:dyDescent="0.3">
      <c r="A21" s="510"/>
      <c r="B21" s="368" t="s">
        <v>200</v>
      </c>
      <c r="C21" s="371"/>
      <c r="D21" s="371"/>
      <c r="E21" s="369">
        <v>1</v>
      </c>
      <c r="F21" s="369">
        <v>1.6</v>
      </c>
      <c r="G21" s="369">
        <v>1.6</v>
      </c>
      <c r="H21" s="369">
        <f t="shared" si="1"/>
        <v>100</v>
      </c>
      <c r="I21" s="370">
        <f t="shared" si="2"/>
        <v>160</v>
      </c>
      <c r="J21" s="369" t="e">
        <f>(E21*E10+F21*F10)/J10</f>
        <v>#REF!</v>
      </c>
      <c r="K21" s="375"/>
      <c r="L21" s="374">
        <f>L58</f>
        <v>900650.26329999976</v>
      </c>
      <c r="M21" s="373" t="e">
        <f>F24*F9+F10*F25+F26*F11</f>
        <v>#REF!</v>
      </c>
      <c r="N21" s="375"/>
      <c r="O21" s="375"/>
      <c r="P21" s="375"/>
      <c r="Q21" s="375"/>
      <c r="R21" s="375"/>
      <c r="S21" s="375"/>
      <c r="T21" s="511">
        <f>T20</f>
        <v>1.6</v>
      </c>
    </row>
    <row r="22" spans="1:26" ht="33.75" hidden="1" customHeight="1" x14ac:dyDescent="0.3">
      <c r="A22" s="510"/>
      <c r="B22" s="368" t="s">
        <v>215</v>
      </c>
      <c r="C22" s="371"/>
      <c r="D22" s="371"/>
      <c r="E22" s="369">
        <v>1</v>
      </c>
      <c r="F22" s="369">
        <v>1.6</v>
      </c>
      <c r="G22" s="369">
        <v>1.5</v>
      </c>
      <c r="H22" s="369">
        <f t="shared" si="1"/>
        <v>93.75</v>
      </c>
      <c r="I22" s="370">
        <f t="shared" si="2"/>
        <v>160</v>
      </c>
      <c r="J22" s="369" t="e">
        <f>(E22*E11+F22*F11)/J11</f>
        <v>#REF!</v>
      </c>
      <c r="K22" s="375"/>
      <c r="L22" s="375"/>
      <c r="M22" s="375"/>
      <c r="N22" s="375"/>
      <c r="O22" s="375"/>
      <c r="P22" s="375"/>
      <c r="Q22" s="375"/>
      <c r="R22" s="375"/>
      <c r="S22" s="375"/>
      <c r="T22" s="511">
        <f>T21</f>
        <v>1.6</v>
      </c>
    </row>
    <row r="23" spans="1:26" s="372" customFormat="1" ht="37.5" hidden="1" x14ac:dyDescent="0.3">
      <c r="A23" s="510">
        <v>1</v>
      </c>
      <c r="B23" s="368" t="s">
        <v>120</v>
      </c>
      <c r="C23" s="368"/>
      <c r="D23" s="368"/>
      <c r="E23" s="369"/>
      <c r="F23" s="369"/>
      <c r="G23" s="369"/>
      <c r="H23" s="369"/>
      <c r="I23" s="370"/>
      <c r="J23" s="369"/>
      <c r="K23" s="512">
        <f>'прил к эксп 3'!P18</f>
        <v>5191.0677999999989</v>
      </c>
      <c r="L23" s="376"/>
      <c r="M23" s="376"/>
      <c r="N23" s="376"/>
      <c r="O23" s="376"/>
      <c r="P23" s="376"/>
      <c r="Q23" s="376"/>
      <c r="R23" s="376"/>
      <c r="S23" s="376"/>
      <c r="T23" s="513"/>
    </row>
    <row r="24" spans="1:26" ht="102" customHeight="1" x14ac:dyDescent="0.3">
      <c r="A24" s="510">
        <v>1</v>
      </c>
      <c r="B24" s="534" t="s">
        <v>214</v>
      </c>
      <c r="C24" s="549"/>
      <c r="D24" s="549"/>
      <c r="E24" s="369" t="e">
        <f>(E12+E18*E20)*$S$3</f>
        <v>#REF!</v>
      </c>
      <c r="F24" s="369">
        <v>4522.46</v>
      </c>
      <c r="G24" s="378" t="e">
        <f>($G$12+$G$18*G20)*$S$3</f>
        <v>#REF!</v>
      </c>
      <c r="H24" s="378" t="e">
        <f t="shared" si="1"/>
        <v>#REF!</v>
      </c>
      <c r="I24" s="379" t="e">
        <f t="shared" si="2"/>
        <v>#REF!</v>
      </c>
      <c r="J24" s="378" t="e">
        <f>($J$12+$J$18*J20)*$S$3</f>
        <v>#REF!</v>
      </c>
      <c r="K24" s="375"/>
      <c r="L24" s="380">
        <f>L58</f>
        <v>900650.26329999976</v>
      </c>
      <c r="M24" s="375"/>
      <c r="N24" s="375"/>
      <c r="O24" s="375"/>
      <c r="P24" s="375"/>
      <c r="Q24" s="375"/>
      <c r="R24" s="375"/>
      <c r="S24" s="375"/>
      <c r="T24" s="509">
        <f>'прил к эксп 3'!V18</f>
        <v>5358.6749999999993</v>
      </c>
      <c r="Y24" s="377"/>
    </row>
    <row r="25" spans="1:26" ht="104.25" customHeight="1" x14ac:dyDescent="0.3">
      <c r="A25" s="510">
        <v>2</v>
      </c>
      <c r="B25" s="377" t="s">
        <v>200</v>
      </c>
      <c r="C25" s="369"/>
      <c r="D25" s="369"/>
      <c r="E25" s="369" t="e">
        <f>($E$12+$E$18*E21)*$S$3</f>
        <v>#REF!</v>
      </c>
      <c r="F25" s="369">
        <f>F24</f>
        <v>4522.46</v>
      </c>
      <c r="G25" s="378" t="e">
        <f>($G$12+$G$18*G21)*$S$3</f>
        <v>#REF!</v>
      </c>
      <c r="H25" s="378" t="e">
        <f t="shared" si="1"/>
        <v>#REF!</v>
      </c>
      <c r="I25" s="379" t="e">
        <f t="shared" si="2"/>
        <v>#REF!</v>
      </c>
      <c r="J25" s="378" t="e">
        <f>($J$12+$J$18*J21)*$S$3</f>
        <v>#REF!</v>
      </c>
      <c r="K25" s="375"/>
      <c r="L25" s="375"/>
      <c r="M25" s="375"/>
      <c r="N25" s="375"/>
      <c r="O25" s="375"/>
      <c r="P25" s="375"/>
      <c r="Q25" s="375"/>
      <c r="R25" s="375"/>
      <c r="S25" s="375"/>
      <c r="T25" s="509">
        <f>T24</f>
        <v>5358.6749999999993</v>
      </c>
      <c r="Z25" s="358">
        <f>T24/F24</f>
        <v>1.1849026857064515</v>
      </c>
    </row>
    <row r="26" spans="1:26" ht="66.75" customHeight="1" x14ac:dyDescent="0.3">
      <c r="A26" s="510">
        <v>3</v>
      </c>
      <c r="B26" s="534" t="s">
        <v>248</v>
      </c>
      <c r="C26" s="369"/>
      <c r="D26" s="369"/>
      <c r="E26" s="369" t="e">
        <f>($E$12+$E$18*E22)*$S$3</f>
        <v>#REF!</v>
      </c>
      <c r="F26" s="369">
        <f>F24</f>
        <v>4522.46</v>
      </c>
      <c r="G26" s="378" t="e">
        <f>($G$12+$G$18*G22)*$S$3</f>
        <v>#REF!</v>
      </c>
      <c r="H26" s="378" t="e">
        <f t="shared" si="1"/>
        <v>#REF!</v>
      </c>
      <c r="I26" s="379" t="e">
        <f t="shared" si="2"/>
        <v>#REF!</v>
      </c>
      <c r="J26" s="378" t="e">
        <f>($J$12+$J$18*J22)*$S$3</f>
        <v>#REF!</v>
      </c>
      <c r="K26" s="375"/>
      <c r="L26" s="375"/>
      <c r="M26" s="375"/>
      <c r="N26" s="375"/>
      <c r="O26" s="375"/>
      <c r="P26" s="375"/>
      <c r="Q26" s="375"/>
      <c r="R26" s="375"/>
      <c r="S26" s="375"/>
      <c r="T26" s="509">
        <f>T24</f>
        <v>5358.6749999999993</v>
      </c>
    </row>
    <row r="27" spans="1:26" hidden="1" x14ac:dyDescent="0.3">
      <c r="A27" s="514"/>
      <c r="B27" s="382" t="s">
        <v>119</v>
      </c>
      <c r="C27" s="550"/>
      <c r="D27" s="550"/>
      <c r="E27" s="551">
        <f>E28+E29+E30</f>
        <v>3</v>
      </c>
      <c r="F27" s="551">
        <f t="shared" ref="F27:J27" si="8">F28+F29+F30</f>
        <v>4.8000000000000007</v>
      </c>
      <c r="G27" s="383"/>
      <c r="H27" s="384">
        <f t="shared" si="1"/>
        <v>0</v>
      </c>
      <c r="I27" s="385">
        <f t="shared" si="2"/>
        <v>160.00000000000003</v>
      </c>
      <c r="J27" s="381" t="e">
        <f t="shared" si="8"/>
        <v>#REF!</v>
      </c>
      <c r="K27" s="375">
        <v>1</v>
      </c>
      <c r="L27" s="375">
        <v>1</v>
      </c>
      <c r="M27" s="375">
        <v>1</v>
      </c>
      <c r="N27" s="375"/>
      <c r="O27" s="375"/>
      <c r="P27" s="375"/>
      <c r="Q27" s="375"/>
      <c r="R27" s="375"/>
      <c r="S27" s="375"/>
      <c r="T27" s="506"/>
    </row>
    <row r="28" spans="1:26" ht="131.25" hidden="1" x14ac:dyDescent="0.3">
      <c r="A28" s="514"/>
      <c r="B28" s="386" t="s">
        <v>199</v>
      </c>
      <c r="C28" s="550"/>
      <c r="D28" s="550"/>
      <c r="E28" s="551">
        <f t="shared" ref="E28:G30" si="9">E20</f>
        <v>1</v>
      </c>
      <c r="F28" s="551">
        <f t="shared" si="9"/>
        <v>1.6</v>
      </c>
      <c r="G28" s="383">
        <f t="shared" si="9"/>
        <v>1.7</v>
      </c>
      <c r="H28" s="384">
        <f t="shared" si="1"/>
        <v>106.25</v>
      </c>
      <c r="I28" s="385">
        <f t="shared" si="2"/>
        <v>160</v>
      </c>
      <c r="J28" s="381" t="e">
        <f>J20</f>
        <v>#REF!</v>
      </c>
      <c r="K28" s="375">
        <f>E28*K27/E27</f>
        <v>0.33333333333333331</v>
      </c>
      <c r="L28" s="375">
        <f>F28*L27/F27</f>
        <v>0.33333333333333331</v>
      </c>
      <c r="M28" s="375" t="e">
        <f t="shared" ref="M28" si="10">J28*M27/J27</f>
        <v>#REF!</v>
      </c>
      <c r="N28" s="375"/>
      <c r="O28" s="375"/>
      <c r="P28" s="375"/>
      <c r="Q28" s="375"/>
      <c r="R28" s="375"/>
      <c r="S28" s="375"/>
      <c r="T28" s="506"/>
    </row>
    <row r="29" spans="1:26" ht="93.75" hidden="1" x14ac:dyDescent="0.3">
      <c r="A29" s="514"/>
      <c r="B29" s="386" t="s">
        <v>200</v>
      </c>
      <c r="C29" s="550"/>
      <c r="D29" s="550"/>
      <c r="E29" s="551">
        <f t="shared" si="9"/>
        <v>1</v>
      </c>
      <c r="F29" s="551">
        <f t="shared" si="9"/>
        <v>1.6</v>
      </c>
      <c r="G29" s="383">
        <f t="shared" si="9"/>
        <v>1.6</v>
      </c>
      <c r="H29" s="384">
        <f t="shared" si="1"/>
        <v>100</v>
      </c>
      <c r="I29" s="385">
        <f t="shared" si="2"/>
        <v>160</v>
      </c>
      <c r="J29" s="381" t="e">
        <f>J21</f>
        <v>#REF!</v>
      </c>
      <c r="K29" s="375">
        <f>E29*K27/E27</f>
        <v>0.33333333333333331</v>
      </c>
      <c r="L29" s="375">
        <f>F29*L27/F27</f>
        <v>0.33333333333333331</v>
      </c>
      <c r="M29" s="375" t="e">
        <f t="shared" ref="M29" si="11">J29*M27/J27</f>
        <v>#REF!</v>
      </c>
      <c r="N29" s="375"/>
      <c r="O29" s="375"/>
      <c r="P29" s="375"/>
      <c r="Q29" s="375"/>
      <c r="R29" s="375"/>
      <c r="S29" s="375"/>
      <c r="T29" s="506"/>
    </row>
    <row r="30" spans="1:26" ht="75" hidden="1" x14ac:dyDescent="0.3">
      <c r="A30" s="514"/>
      <c r="B30" s="386" t="s">
        <v>202</v>
      </c>
      <c r="C30" s="550"/>
      <c r="D30" s="550"/>
      <c r="E30" s="551">
        <f t="shared" si="9"/>
        <v>1</v>
      </c>
      <c r="F30" s="551">
        <f t="shared" si="9"/>
        <v>1.6</v>
      </c>
      <c r="G30" s="383">
        <f t="shared" si="9"/>
        <v>1.5</v>
      </c>
      <c r="H30" s="384">
        <f t="shared" si="1"/>
        <v>93.75</v>
      </c>
      <c r="I30" s="385">
        <f t="shared" si="2"/>
        <v>160</v>
      </c>
      <c r="J30" s="381" t="e">
        <f>J22</f>
        <v>#REF!</v>
      </c>
      <c r="K30" s="375">
        <f>E30*K27/E27</f>
        <v>0.33333333333333331</v>
      </c>
      <c r="L30" s="375">
        <f>F30*L27/F27</f>
        <v>0.33333333333333331</v>
      </c>
      <c r="M30" s="375" t="e">
        <f t="shared" ref="M30" si="12">J30*M27/J27</f>
        <v>#REF!</v>
      </c>
      <c r="N30" s="375"/>
      <c r="O30" s="375"/>
      <c r="P30" s="375"/>
      <c r="Q30" s="375"/>
      <c r="R30" s="375"/>
      <c r="S30" s="375"/>
      <c r="T30" s="506"/>
    </row>
    <row r="31" spans="1:26" hidden="1" x14ac:dyDescent="0.3">
      <c r="A31" s="515"/>
      <c r="B31" s="362" t="s">
        <v>85</v>
      </c>
      <c r="C31" s="385" t="s">
        <v>65</v>
      </c>
      <c r="D31" s="385"/>
      <c r="E31" s="427" t="e">
        <f>E32+E33+E34</f>
        <v>#REF!</v>
      </c>
      <c r="F31" s="427" t="e">
        <f t="shared" ref="F31:J31" si="13">F32+F33+F34</f>
        <v>#REF!</v>
      </c>
      <c r="G31" s="388" t="e">
        <f t="shared" si="13"/>
        <v>#REF!</v>
      </c>
      <c r="H31" s="384" t="e">
        <f t="shared" si="1"/>
        <v>#REF!</v>
      </c>
      <c r="I31" s="385" t="e">
        <f t="shared" si="2"/>
        <v>#REF!</v>
      </c>
      <c r="J31" s="387" t="e">
        <f t="shared" si="13"/>
        <v>#REF!</v>
      </c>
      <c r="K31" s="516" t="s">
        <v>181</v>
      </c>
      <c r="L31" s="516"/>
      <c r="M31" s="516"/>
      <c r="N31" s="516"/>
      <c r="O31" s="516"/>
      <c r="P31" s="375"/>
      <c r="Q31" s="375"/>
      <c r="R31" s="375"/>
      <c r="S31" s="375"/>
      <c r="T31" s="506"/>
    </row>
    <row r="32" spans="1:26" ht="131.25" hidden="1" x14ac:dyDescent="0.3">
      <c r="A32" s="515"/>
      <c r="B32" s="386" t="s">
        <v>199</v>
      </c>
      <c r="C32" s="385" t="s">
        <v>65</v>
      </c>
      <c r="D32" s="385"/>
      <c r="E32" s="427" t="e">
        <f t="shared" ref="E32:G34" si="14">E9*E28</f>
        <v>#REF!</v>
      </c>
      <c r="F32" s="427" t="e">
        <f t="shared" si="14"/>
        <v>#REF!</v>
      </c>
      <c r="G32" s="388" t="e">
        <f t="shared" si="14"/>
        <v>#REF!</v>
      </c>
      <c r="H32" s="384" t="e">
        <f t="shared" si="1"/>
        <v>#REF!</v>
      </c>
      <c r="I32" s="385" t="e">
        <f t="shared" si="2"/>
        <v>#REF!</v>
      </c>
      <c r="J32" s="387" t="e">
        <f>J9*J28</f>
        <v>#REF!</v>
      </c>
      <c r="K32" s="375"/>
      <c r="L32" s="375"/>
      <c r="M32" s="375"/>
      <c r="N32" s="375"/>
      <c r="O32" s="375"/>
      <c r="P32" s="375"/>
      <c r="Q32" s="375"/>
      <c r="R32" s="375"/>
      <c r="S32" s="375"/>
      <c r="T32" s="506"/>
    </row>
    <row r="33" spans="1:20" ht="93.75" hidden="1" x14ac:dyDescent="0.3">
      <c r="A33" s="515"/>
      <c r="B33" s="386" t="s">
        <v>200</v>
      </c>
      <c r="C33" s="385" t="s">
        <v>65</v>
      </c>
      <c r="D33" s="385"/>
      <c r="E33" s="427" t="e">
        <f t="shared" si="14"/>
        <v>#REF!</v>
      </c>
      <c r="F33" s="427" t="e">
        <f t="shared" si="14"/>
        <v>#REF!</v>
      </c>
      <c r="G33" s="388" t="e">
        <f t="shared" si="14"/>
        <v>#REF!</v>
      </c>
      <c r="H33" s="384" t="e">
        <f t="shared" si="1"/>
        <v>#REF!</v>
      </c>
      <c r="I33" s="385" t="e">
        <f t="shared" si="2"/>
        <v>#REF!</v>
      </c>
      <c r="J33" s="387" t="e">
        <f>J10*J29</f>
        <v>#REF!</v>
      </c>
      <c r="K33" s="375"/>
      <c r="L33" s="375"/>
      <c r="M33" s="375"/>
      <c r="N33" s="375"/>
      <c r="O33" s="375"/>
      <c r="P33" s="375"/>
      <c r="Q33" s="375"/>
      <c r="R33" s="375"/>
      <c r="S33" s="375"/>
      <c r="T33" s="506"/>
    </row>
    <row r="34" spans="1:20" ht="75" hidden="1" x14ac:dyDescent="0.3">
      <c r="A34" s="515"/>
      <c r="B34" s="386" t="s">
        <v>202</v>
      </c>
      <c r="C34" s="385" t="s">
        <v>65</v>
      </c>
      <c r="D34" s="385"/>
      <c r="E34" s="427" t="e">
        <f t="shared" si="14"/>
        <v>#REF!</v>
      </c>
      <c r="F34" s="427" t="e">
        <f t="shared" si="14"/>
        <v>#REF!</v>
      </c>
      <c r="G34" s="388" t="e">
        <f t="shared" si="14"/>
        <v>#REF!</v>
      </c>
      <c r="H34" s="384" t="e">
        <f t="shared" si="1"/>
        <v>#REF!</v>
      </c>
      <c r="I34" s="385" t="e">
        <f t="shared" si="2"/>
        <v>#REF!</v>
      </c>
      <c r="J34" s="387" t="e">
        <f>J11*J30</f>
        <v>#REF!</v>
      </c>
      <c r="K34" s="375"/>
      <c r="L34" s="375"/>
      <c r="M34" s="375"/>
      <c r="N34" s="375"/>
      <c r="O34" s="375"/>
      <c r="P34" s="375"/>
      <c r="Q34" s="375"/>
      <c r="R34" s="375"/>
      <c r="S34" s="375"/>
      <c r="T34" s="506"/>
    </row>
    <row r="35" spans="1:20" hidden="1" x14ac:dyDescent="0.3">
      <c r="A35" s="515"/>
      <c r="B35" s="362" t="s">
        <v>93</v>
      </c>
      <c r="C35" s="385" t="s">
        <v>65</v>
      </c>
      <c r="D35" s="385"/>
      <c r="E35" s="385" t="e">
        <f>E31</f>
        <v>#REF!</v>
      </c>
      <c r="F35" s="385" t="e">
        <f t="shared" ref="F35:J35" si="15">F31</f>
        <v>#REF!</v>
      </c>
      <c r="G35" s="389" t="e">
        <f t="shared" si="15"/>
        <v>#REF!</v>
      </c>
      <c r="H35" s="384" t="e">
        <f t="shared" si="1"/>
        <v>#REF!</v>
      </c>
      <c r="I35" s="385" t="e">
        <f t="shared" si="2"/>
        <v>#REF!</v>
      </c>
      <c r="J35" s="362" t="e">
        <f t="shared" si="15"/>
        <v>#REF!</v>
      </c>
      <c r="K35" s="375"/>
      <c r="L35" s="390" t="e">
        <f>(F28*F9+F29*F10+F30*F11)/F8</f>
        <v>#REF!</v>
      </c>
      <c r="M35" s="390" t="e">
        <f>L35*F8</f>
        <v>#REF!</v>
      </c>
      <c r="N35" s="375"/>
      <c r="O35" s="375"/>
      <c r="P35" s="375"/>
      <c r="Q35" s="375"/>
      <c r="R35" s="375"/>
      <c r="S35" s="375"/>
      <c r="T35" s="506"/>
    </row>
    <row r="36" spans="1:20" hidden="1" x14ac:dyDescent="0.3">
      <c r="A36" s="515"/>
      <c r="B36" s="362" t="s">
        <v>254</v>
      </c>
      <c r="C36" s="385" t="s">
        <v>72</v>
      </c>
      <c r="D36" s="385"/>
      <c r="E36" s="385" t="e">
        <f>(E8*E15)/E35</f>
        <v>#REF!</v>
      </c>
      <c r="F36" s="385" t="e">
        <f>(F8*F15)/F35</f>
        <v>#REF!</v>
      </c>
      <c r="G36" s="389" t="e">
        <f>(G8*G15)/G35</f>
        <v>#REF!</v>
      </c>
      <c r="H36" s="384" t="e">
        <f t="shared" si="1"/>
        <v>#REF!</v>
      </c>
      <c r="I36" s="385" t="e">
        <f t="shared" si="2"/>
        <v>#REF!</v>
      </c>
      <c r="J36" s="362" t="e">
        <f>(J8*J15)/J35</f>
        <v>#REF!</v>
      </c>
      <c r="K36" s="375"/>
      <c r="L36" s="375"/>
      <c r="M36" s="375"/>
      <c r="N36" s="375"/>
      <c r="O36" s="375"/>
      <c r="P36" s="375"/>
      <c r="Q36" s="375"/>
      <c r="R36" s="375"/>
      <c r="S36" s="375"/>
      <c r="T36" s="506"/>
    </row>
    <row r="37" spans="1:20" hidden="1" x14ac:dyDescent="0.3">
      <c r="A37" s="515"/>
      <c r="B37" s="362" t="s">
        <v>97</v>
      </c>
      <c r="C37" s="385"/>
      <c r="D37" s="385"/>
      <c r="E37" s="385"/>
      <c r="F37" s="385"/>
      <c r="G37" s="389"/>
      <c r="H37" s="384" t="e">
        <f t="shared" si="1"/>
        <v>#DIV/0!</v>
      </c>
      <c r="I37" s="385"/>
      <c r="J37" s="362"/>
      <c r="K37" s="375"/>
      <c r="L37" s="375"/>
      <c r="M37" s="375"/>
      <c r="N37" s="375"/>
      <c r="O37" s="375"/>
      <c r="P37" s="375"/>
      <c r="Q37" s="375"/>
      <c r="R37" s="375"/>
      <c r="S37" s="375"/>
      <c r="T37" s="506"/>
    </row>
    <row r="38" spans="1:20" ht="131.25" hidden="1" x14ac:dyDescent="0.3">
      <c r="A38" s="515"/>
      <c r="B38" s="386" t="s">
        <v>199</v>
      </c>
      <c r="C38" s="385" t="s">
        <v>72</v>
      </c>
      <c r="D38" s="385"/>
      <c r="E38" s="385" t="e">
        <f>$E$36*E28</f>
        <v>#REF!</v>
      </c>
      <c r="F38" s="385" t="e">
        <f>$F$36*F28</f>
        <v>#REF!</v>
      </c>
      <c r="G38" s="389" t="e">
        <f>$G$36*G28</f>
        <v>#REF!</v>
      </c>
      <c r="H38" s="384" t="e">
        <f t="shared" si="1"/>
        <v>#REF!</v>
      </c>
      <c r="I38" s="385" t="e">
        <f t="shared" si="2"/>
        <v>#REF!</v>
      </c>
      <c r="J38" s="362" t="e">
        <f>$J$36*J28</f>
        <v>#REF!</v>
      </c>
      <c r="K38" s="375"/>
      <c r="L38" s="375"/>
      <c r="M38" s="375"/>
      <c r="N38" s="375"/>
      <c r="O38" s="375"/>
      <c r="P38" s="375"/>
      <c r="Q38" s="375"/>
      <c r="R38" s="375"/>
      <c r="S38" s="375"/>
      <c r="T38" s="506"/>
    </row>
    <row r="39" spans="1:20" ht="93.75" hidden="1" x14ac:dyDescent="0.3">
      <c r="A39" s="515"/>
      <c r="B39" s="386" t="s">
        <v>200</v>
      </c>
      <c r="C39" s="385" t="s">
        <v>72</v>
      </c>
      <c r="D39" s="385"/>
      <c r="E39" s="385" t="e">
        <f t="shared" ref="E39:E40" si="16">$E$36*E29</f>
        <v>#REF!</v>
      </c>
      <c r="F39" s="385" t="e">
        <f t="shared" ref="F39" si="17">$F$36*F29</f>
        <v>#REF!</v>
      </c>
      <c r="G39" s="389" t="e">
        <f t="shared" ref="G39:G40" si="18">$G$36*G29</f>
        <v>#REF!</v>
      </c>
      <c r="H39" s="384" t="e">
        <f t="shared" si="1"/>
        <v>#REF!</v>
      </c>
      <c r="I39" s="385" t="e">
        <f t="shared" si="2"/>
        <v>#REF!</v>
      </c>
      <c r="J39" s="362" t="e">
        <f t="shared" ref="J39:J40" si="19">$J$36*J29</f>
        <v>#REF!</v>
      </c>
      <c r="K39" s="375"/>
      <c r="L39" s="375"/>
      <c r="M39" s="375"/>
      <c r="N39" s="375"/>
      <c r="O39" s="375"/>
      <c r="P39" s="375"/>
      <c r="Q39" s="375"/>
      <c r="R39" s="375"/>
      <c r="S39" s="375"/>
      <c r="T39" s="506"/>
    </row>
    <row r="40" spans="1:20" ht="75" hidden="1" x14ac:dyDescent="0.3">
      <c r="A40" s="515"/>
      <c r="B40" s="386" t="s">
        <v>202</v>
      </c>
      <c r="C40" s="385" t="s">
        <v>72</v>
      </c>
      <c r="D40" s="385"/>
      <c r="E40" s="385" t="e">
        <f t="shared" si="16"/>
        <v>#REF!</v>
      </c>
      <c r="F40" s="385" t="e">
        <f>$F$36*F30</f>
        <v>#REF!</v>
      </c>
      <c r="G40" s="389" t="e">
        <f t="shared" si="18"/>
        <v>#REF!</v>
      </c>
      <c r="H40" s="384" t="e">
        <f t="shared" si="1"/>
        <v>#REF!</v>
      </c>
      <c r="I40" s="385" t="e">
        <f t="shared" si="2"/>
        <v>#REF!</v>
      </c>
      <c r="J40" s="362" t="e">
        <f t="shared" si="19"/>
        <v>#REF!</v>
      </c>
      <c r="K40" s="375"/>
      <c r="L40" s="375"/>
      <c r="M40" s="375"/>
      <c r="N40" s="375"/>
      <c r="O40" s="375"/>
      <c r="P40" s="375"/>
      <c r="Q40" s="375"/>
      <c r="R40" s="375"/>
      <c r="S40" s="375"/>
      <c r="T40" s="506"/>
    </row>
    <row r="41" spans="1:20" s="391" customFormat="1" hidden="1" x14ac:dyDescent="0.3">
      <c r="A41" s="517"/>
      <c r="B41" s="518"/>
      <c r="C41" s="552"/>
      <c r="D41" s="552"/>
      <c r="E41" s="552"/>
      <c r="F41" s="552"/>
      <c r="G41" s="519"/>
      <c r="H41" s="519"/>
      <c r="I41" s="518"/>
      <c r="J41" s="518"/>
      <c r="K41" s="518"/>
      <c r="L41" s="518"/>
      <c r="M41" s="518"/>
      <c r="N41" s="518"/>
      <c r="O41" s="518"/>
      <c r="P41" s="518"/>
      <c r="Q41" s="518"/>
      <c r="R41" s="518"/>
      <c r="S41" s="518"/>
      <c r="T41" s="520"/>
    </row>
    <row r="42" spans="1:20" hidden="1" x14ac:dyDescent="0.3">
      <c r="A42" s="521"/>
      <c r="B42" s="392" t="s">
        <v>205</v>
      </c>
      <c r="C42" s="553"/>
      <c r="D42" s="553"/>
      <c r="E42" s="554"/>
      <c r="F42" s="554"/>
      <c r="G42" s="394"/>
      <c r="H42" s="394"/>
      <c r="I42" s="393"/>
      <c r="J42" s="393"/>
      <c r="K42" s="375"/>
      <c r="L42" s="375"/>
      <c r="M42" s="375"/>
      <c r="N42" s="375"/>
      <c r="O42" s="375"/>
      <c r="P42" s="375"/>
      <c r="Q42" s="375"/>
      <c r="R42" s="375"/>
      <c r="S42" s="375"/>
      <c r="T42" s="506"/>
    </row>
    <row r="43" spans="1:20" ht="131.25" hidden="1" x14ac:dyDescent="0.3">
      <c r="A43" s="521"/>
      <c r="B43" s="395" t="s">
        <v>199</v>
      </c>
      <c r="C43" s="555" t="s">
        <v>57</v>
      </c>
      <c r="D43" s="555"/>
      <c r="E43" s="556" t="e">
        <f t="shared" ref="E43:F45" si="20">E38*E9</f>
        <v>#REF!</v>
      </c>
      <c r="F43" s="556" t="e">
        <f t="shared" si="20"/>
        <v>#REF!</v>
      </c>
      <c r="G43" s="397"/>
      <c r="H43" s="397"/>
      <c r="I43" s="398"/>
      <c r="J43" s="396" t="e">
        <f>J38*J9</f>
        <v>#REF!</v>
      </c>
      <c r="K43" s="399" t="s">
        <v>209</v>
      </c>
      <c r="L43" s="375"/>
      <c r="M43" s="375"/>
      <c r="N43" s="375"/>
      <c r="O43" s="375"/>
      <c r="P43" s="375"/>
      <c r="Q43" s="375"/>
      <c r="R43" s="375"/>
      <c r="S43" s="375"/>
      <c r="T43" s="506"/>
    </row>
    <row r="44" spans="1:20" ht="93.75" hidden="1" x14ac:dyDescent="0.3">
      <c r="A44" s="521"/>
      <c r="B44" s="395" t="s">
        <v>200</v>
      </c>
      <c r="C44" s="555" t="s">
        <v>57</v>
      </c>
      <c r="D44" s="555"/>
      <c r="E44" s="556" t="e">
        <f t="shared" si="20"/>
        <v>#REF!</v>
      </c>
      <c r="F44" s="556" t="e">
        <f t="shared" si="20"/>
        <v>#REF!</v>
      </c>
      <c r="G44" s="397"/>
      <c r="H44" s="397"/>
      <c r="I44" s="398"/>
      <c r="J44" s="396" t="e">
        <f>J39*J10</f>
        <v>#REF!</v>
      </c>
      <c r="K44" s="400" t="e">
        <f>(F43+C50)*S3*F28</f>
        <v>#REF!</v>
      </c>
      <c r="L44" s="522" t="e">
        <f>K44*S3</f>
        <v>#REF!</v>
      </c>
      <c r="M44" s="375"/>
      <c r="N44" s="375"/>
      <c r="O44" s="375"/>
      <c r="P44" s="375"/>
      <c r="Q44" s="375"/>
      <c r="R44" s="375"/>
      <c r="S44" s="375"/>
      <c r="T44" s="506"/>
    </row>
    <row r="45" spans="1:20" ht="75" hidden="1" x14ac:dyDescent="0.3">
      <c r="A45" s="521"/>
      <c r="B45" s="395" t="s">
        <v>202</v>
      </c>
      <c r="C45" s="555" t="s">
        <v>57</v>
      </c>
      <c r="D45" s="555"/>
      <c r="E45" s="556" t="e">
        <f t="shared" si="20"/>
        <v>#REF!</v>
      </c>
      <c r="F45" s="556" t="e">
        <f t="shared" si="20"/>
        <v>#REF!</v>
      </c>
      <c r="G45" s="397"/>
      <c r="H45" s="397"/>
      <c r="I45" s="398"/>
      <c r="J45" s="396" t="e">
        <f>J40*J11</f>
        <v>#REF!</v>
      </c>
      <c r="K45" s="400" t="e">
        <f>S3*(F9*(C50+(F36*F28)))</f>
        <v>#REF!</v>
      </c>
      <c r="L45" s="522"/>
      <c r="M45" s="375"/>
      <c r="N45" s="375"/>
      <c r="O45" s="375"/>
      <c r="P45" s="375"/>
      <c r="Q45" s="375"/>
      <c r="R45" s="375"/>
      <c r="S45" s="375"/>
      <c r="T45" s="506"/>
    </row>
    <row r="46" spans="1:20" hidden="1" x14ac:dyDescent="0.3">
      <c r="A46" s="521"/>
      <c r="B46" s="401" t="s">
        <v>106</v>
      </c>
      <c r="C46" s="555" t="s">
        <v>57</v>
      </c>
      <c r="D46" s="555"/>
      <c r="E46" s="557" t="e">
        <f>E43+E44+E45</f>
        <v>#REF!</v>
      </c>
      <c r="F46" s="557" t="e">
        <f t="shared" ref="F46:J46" si="21">F43+F44+F45</f>
        <v>#REF!</v>
      </c>
      <c r="G46" s="403"/>
      <c r="H46" s="403"/>
      <c r="I46" s="404"/>
      <c r="J46" s="402" t="e">
        <f t="shared" si="21"/>
        <v>#REF!</v>
      </c>
      <c r="K46" s="375"/>
      <c r="L46" s="375"/>
      <c r="M46" s="375"/>
      <c r="N46" s="375"/>
      <c r="O46" s="375"/>
      <c r="P46" s="375"/>
      <c r="Q46" s="375"/>
      <c r="R46" s="375"/>
      <c r="S46" s="375"/>
      <c r="T46" s="506"/>
    </row>
    <row r="47" spans="1:20" hidden="1" x14ac:dyDescent="0.3">
      <c r="A47" s="521"/>
      <c r="B47" s="405"/>
      <c r="C47" s="558"/>
      <c r="D47" s="558"/>
      <c r="E47" s="559"/>
      <c r="F47" s="559"/>
      <c r="G47" s="407"/>
      <c r="H47" s="407"/>
      <c r="I47" s="406"/>
      <c r="J47" s="406"/>
      <c r="K47" s="523"/>
      <c r="L47" s="375"/>
      <c r="M47" s="375"/>
      <c r="N47" s="375"/>
      <c r="O47" s="375"/>
      <c r="P47" s="375"/>
      <c r="Q47" s="375"/>
      <c r="R47" s="375"/>
      <c r="S47" s="375"/>
      <c r="T47" s="506"/>
    </row>
    <row r="48" spans="1:20" hidden="1" x14ac:dyDescent="0.3">
      <c r="A48" s="521"/>
      <c r="B48" s="408" t="s">
        <v>134</v>
      </c>
      <c r="C48" s="560" t="s">
        <v>107</v>
      </c>
      <c r="D48" s="560"/>
      <c r="E48" s="561" t="s">
        <v>108</v>
      </c>
      <c r="F48" s="561" t="s">
        <v>33</v>
      </c>
      <c r="G48" s="409"/>
      <c r="H48" s="409"/>
      <c r="I48" s="410"/>
      <c r="J48" s="363" t="s">
        <v>194</v>
      </c>
      <c r="K48" s="411" t="s">
        <v>197</v>
      </c>
      <c r="L48" s="412" t="s">
        <v>195</v>
      </c>
      <c r="M48" s="375"/>
      <c r="N48" s="375"/>
      <c r="O48" s="375"/>
      <c r="P48" s="375"/>
      <c r="Q48" s="375"/>
      <c r="R48" s="375"/>
      <c r="S48" s="375"/>
      <c r="T48" s="506"/>
    </row>
    <row r="49" spans="1:20" hidden="1" x14ac:dyDescent="0.3">
      <c r="A49" s="521"/>
      <c r="B49" s="413" t="s">
        <v>109</v>
      </c>
      <c r="C49" s="763" t="s">
        <v>190</v>
      </c>
      <c r="D49" s="763"/>
      <c r="E49" s="763"/>
      <c r="F49" s="763"/>
      <c r="G49" s="414"/>
      <c r="H49" s="414"/>
      <c r="I49" s="415"/>
      <c r="J49" s="416"/>
      <c r="K49" s="416"/>
      <c r="L49" s="362"/>
      <c r="M49" s="375"/>
      <c r="N49" s="375"/>
      <c r="O49" s="375"/>
      <c r="P49" s="375"/>
      <c r="Q49" s="375"/>
      <c r="R49" s="375"/>
      <c r="S49" s="375"/>
      <c r="T49" s="506"/>
    </row>
    <row r="50" spans="1:20" ht="131.25" hidden="1" x14ac:dyDescent="0.3">
      <c r="A50" s="521"/>
      <c r="B50" s="386" t="s">
        <v>199</v>
      </c>
      <c r="C50" s="561">
        <f>E12</f>
        <v>3206</v>
      </c>
      <c r="D50" s="561"/>
      <c r="E50" s="562" t="e">
        <f>C50+E38</f>
        <v>#REF!</v>
      </c>
      <c r="F50" s="562" t="e">
        <f>E50*E9</f>
        <v>#REF!</v>
      </c>
      <c r="G50" s="417"/>
      <c r="H50" s="417"/>
      <c r="I50" s="418"/>
      <c r="J50" s="419" t="e">
        <f>E50*$S$3</f>
        <v>#REF!</v>
      </c>
      <c r="K50" s="420" t="e">
        <f>J50*E9</f>
        <v>#REF!</v>
      </c>
      <c r="L50" s="362"/>
      <c r="M50" s="375"/>
      <c r="N50" s="375"/>
      <c r="O50" s="375"/>
      <c r="P50" s="375"/>
      <c r="Q50" s="375"/>
      <c r="R50" s="375"/>
      <c r="S50" s="375"/>
      <c r="T50" s="506"/>
    </row>
    <row r="51" spans="1:20" ht="93.75" hidden="1" x14ac:dyDescent="0.3">
      <c r="A51" s="521"/>
      <c r="B51" s="386" t="s">
        <v>200</v>
      </c>
      <c r="C51" s="561">
        <f>C50</f>
        <v>3206</v>
      </c>
      <c r="D51" s="561"/>
      <c r="E51" s="562" t="e">
        <f>C51+E39</f>
        <v>#REF!</v>
      </c>
      <c r="F51" s="562" t="e">
        <f>E51*E10</f>
        <v>#REF!</v>
      </c>
      <c r="G51" s="417"/>
      <c r="H51" s="417"/>
      <c r="I51" s="418"/>
      <c r="J51" s="419" t="e">
        <f t="shared" ref="J51:J65" si="22">E51*$S$3</f>
        <v>#REF!</v>
      </c>
      <c r="K51" s="420" t="e">
        <f>J51*E10</f>
        <v>#REF!</v>
      </c>
      <c r="L51" s="362"/>
      <c r="M51" s="375"/>
      <c r="N51" s="375"/>
      <c r="O51" s="375"/>
      <c r="P51" s="375"/>
      <c r="Q51" s="375"/>
      <c r="R51" s="375"/>
      <c r="S51" s="375"/>
      <c r="T51" s="506"/>
    </row>
    <row r="52" spans="1:20" ht="75" hidden="1" x14ac:dyDescent="0.3">
      <c r="A52" s="521"/>
      <c r="B52" s="386" t="s">
        <v>202</v>
      </c>
      <c r="C52" s="561">
        <f>C51</f>
        <v>3206</v>
      </c>
      <c r="D52" s="561"/>
      <c r="E52" s="562" t="e">
        <f>C52+E40</f>
        <v>#REF!</v>
      </c>
      <c r="F52" s="562" t="e">
        <f>E52*E11</f>
        <v>#REF!</v>
      </c>
      <c r="G52" s="417"/>
      <c r="H52" s="417"/>
      <c r="I52" s="418"/>
      <c r="J52" s="419" t="e">
        <f t="shared" si="22"/>
        <v>#REF!</v>
      </c>
      <c r="K52" s="420" t="e">
        <f>J52*E11</f>
        <v>#REF!</v>
      </c>
      <c r="L52" s="362"/>
      <c r="M52" s="375"/>
      <c r="N52" s="375"/>
      <c r="O52" s="375"/>
      <c r="P52" s="375"/>
      <c r="Q52" s="375"/>
      <c r="R52" s="375"/>
      <c r="S52" s="375"/>
      <c r="T52" s="506"/>
    </row>
    <row r="53" spans="1:20" hidden="1" x14ac:dyDescent="0.3">
      <c r="A53" s="521"/>
      <c r="B53" s="416" t="s">
        <v>106</v>
      </c>
      <c r="C53" s="561"/>
      <c r="D53" s="561"/>
      <c r="E53" s="562"/>
      <c r="F53" s="562" t="e">
        <f>F50+F51+F52</f>
        <v>#REF!</v>
      </c>
      <c r="G53" s="417"/>
      <c r="H53" s="417"/>
      <c r="I53" s="418"/>
      <c r="J53" s="419"/>
      <c r="K53" s="421" t="e">
        <f>K50+K51+K52</f>
        <v>#REF!</v>
      </c>
      <c r="L53" s="385">
        <f>'прил к эксп 3'!N19</f>
        <v>1205249.2682999996</v>
      </c>
      <c r="M53" s="375"/>
      <c r="N53" s="375"/>
      <c r="O53" s="375"/>
      <c r="P53" s="375"/>
      <c r="Q53" s="375"/>
      <c r="R53" s="375"/>
      <c r="S53" s="375"/>
      <c r="T53" s="506"/>
    </row>
    <row r="54" spans="1:20" hidden="1" x14ac:dyDescent="0.3">
      <c r="A54" s="521"/>
      <c r="B54" s="413" t="s">
        <v>109</v>
      </c>
      <c r="C54" s="764" t="s">
        <v>191</v>
      </c>
      <c r="D54" s="764"/>
      <c r="E54" s="764"/>
      <c r="F54" s="764"/>
      <c r="G54" s="422"/>
      <c r="H54" s="422"/>
      <c r="I54" s="423"/>
      <c r="J54" s="419"/>
      <c r="K54" s="362"/>
      <c r="L54" s="362"/>
      <c r="M54" s="375"/>
      <c r="N54" s="375"/>
      <c r="O54" s="375"/>
      <c r="P54" s="375"/>
      <c r="Q54" s="375"/>
      <c r="R54" s="375"/>
      <c r="S54" s="375"/>
      <c r="T54" s="506"/>
    </row>
    <row r="55" spans="1:20" ht="131.25" hidden="1" x14ac:dyDescent="0.3">
      <c r="A55" s="521"/>
      <c r="B55" s="386" t="s">
        <v>199</v>
      </c>
      <c r="C55" s="385">
        <f>'прил к эксп 3'!P11</f>
        <v>3331</v>
      </c>
      <c r="D55" s="385"/>
      <c r="E55" s="385" t="e">
        <f>C55+F38</f>
        <v>#REF!</v>
      </c>
      <c r="F55" s="385" t="e">
        <f>E55*F9</f>
        <v>#REF!</v>
      </c>
      <c r="G55" s="389"/>
      <c r="H55" s="389"/>
      <c r="I55" s="424"/>
      <c r="J55" s="419" t="e">
        <f t="shared" si="22"/>
        <v>#REF!</v>
      </c>
      <c r="K55" s="362" t="e">
        <f>J55*F9</f>
        <v>#REF!</v>
      </c>
      <c r="L55" s="362"/>
      <c r="M55" s="375" t="e">
        <f>E55*S3*F8</f>
        <v>#REF!</v>
      </c>
      <c r="N55" s="375" t="e">
        <f>F55*S3</f>
        <v>#REF!</v>
      </c>
      <c r="O55" s="375"/>
      <c r="P55" s="375"/>
      <c r="Q55" s="375"/>
      <c r="R55" s="375"/>
      <c r="S55" s="375"/>
      <c r="T55" s="506"/>
    </row>
    <row r="56" spans="1:20" ht="93.75" hidden="1" x14ac:dyDescent="0.3">
      <c r="A56" s="521"/>
      <c r="B56" s="386" t="s">
        <v>200</v>
      </c>
      <c r="C56" s="385">
        <f>C55</f>
        <v>3331</v>
      </c>
      <c r="D56" s="385"/>
      <c r="E56" s="385" t="e">
        <f>C56+F39</f>
        <v>#REF!</v>
      </c>
      <c r="F56" s="385" t="e">
        <f>E56*F10</f>
        <v>#REF!</v>
      </c>
      <c r="G56" s="389"/>
      <c r="H56" s="389"/>
      <c r="I56" s="424"/>
      <c r="J56" s="419" t="e">
        <f t="shared" si="22"/>
        <v>#REF!</v>
      </c>
      <c r="K56" s="362" t="e">
        <f>J56*F10</f>
        <v>#REF!</v>
      </c>
      <c r="L56" s="362"/>
      <c r="M56" s="375"/>
      <c r="N56" s="375"/>
      <c r="O56" s="375"/>
      <c r="P56" s="375"/>
      <c r="Q56" s="375"/>
      <c r="R56" s="375"/>
      <c r="S56" s="375"/>
      <c r="T56" s="506"/>
    </row>
    <row r="57" spans="1:20" ht="75" hidden="1" x14ac:dyDescent="0.3">
      <c r="A57" s="521"/>
      <c r="B57" s="386" t="s">
        <v>202</v>
      </c>
      <c r="C57" s="385">
        <f>C56</f>
        <v>3331</v>
      </c>
      <c r="D57" s="385"/>
      <c r="E57" s="385" t="e">
        <f>C57+F40</f>
        <v>#REF!</v>
      </c>
      <c r="F57" s="385" t="e">
        <f>E57*F11</f>
        <v>#REF!</v>
      </c>
      <c r="G57" s="389"/>
      <c r="H57" s="389"/>
      <c r="I57" s="424"/>
      <c r="J57" s="419" t="e">
        <f t="shared" si="22"/>
        <v>#REF!</v>
      </c>
      <c r="K57" s="362" t="e">
        <f>J57*F11</f>
        <v>#REF!</v>
      </c>
      <c r="L57" s="362"/>
      <c r="M57" s="375"/>
      <c r="N57" s="375"/>
      <c r="O57" s="375"/>
      <c r="P57" s="375"/>
      <c r="Q57" s="375"/>
      <c r="R57" s="375"/>
      <c r="S57" s="375"/>
      <c r="T57" s="506"/>
    </row>
    <row r="58" spans="1:20" hidden="1" x14ac:dyDescent="0.3">
      <c r="A58" s="521"/>
      <c r="B58" s="416" t="s">
        <v>106</v>
      </c>
      <c r="C58" s="385"/>
      <c r="D58" s="385"/>
      <c r="E58" s="385"/>
      <c r="F58" s="385" t="e">
        <f>F55+F56+F57</f>
        <v>#REF!</v>
      </c>
      <c r="G58" s="389"/>
      <c r="H58" s="389"/>
      <c r="I58" s="425"/>
      <c r="J58" s="419"/>
      <c r="K58" s="362" t="e">
        <f>K55+K56+K57</f>
        <v>#REF!</v>
      </c>
      <c r="L58" s="385">
        <f>'прил к эксп 3'!P19</f>
        <v>900650.26329999976</v>
      </c>
      <c r="M58" s="375"/>
      <c r="N58" s="375"/>
      <c r="O58" s="375"/>
      <c r="P58" s="375"/>
      <c r="Q58" s="375"/>
      <c r="R58" s="375"/>
      <c r="S58" s="375"/>
      <c r="T58" s="506"/>
    </row>
    <row r="59" spans="1:20" hidden="1" x14ac:dyDescent="0.3">
      <c r="A59" s="521"/>
      <c r="B59" s="416" t="s">
        <v>198</v>
      </c>
      <c r="C59" s="385">
        <f>C55/C50*100</f>
        <v>103.89893948845913</v>
      </c>
      <c r="D59" s="385"/>
      <c r="E59" s="385"/>
      <c r="F59" s="385"/>
      <c r="G59" s="389"/>
      <c r="H59" s="389"/>
      <c r="I59" s="425"/>
      <c r="J59" s="426" t="e">
        <f>J55/J50*100</f>
        <v>#REF!</v>
      </c>
      <c r="K59" s="362"/>
      <c r="L59" s="385"/>
      <c r="M59" s="375"/>
      <c r="N59" s="375"/>
      <c r="O59" s="375"/>
      <c r="P59" s="375"/>
      <c r="Q59" s="375"/>
      <c r="R59" s="375"/>
      <c r="S59" s="375"/>
      <c r="T59" s="506"/>
    </row>
    <row r="60" spans="1:20" hidden="1" x14ac:dyDescent="0.3">
      <c r="A60" s="521"/>
      <c r="B60" s="416"/>
      <c r="C60" s="385">
        <f t="shared" ref="C60:C61" si="23">C56/C51*100</f>
        <v>103.89893948845913</v>
      </c>
      <c r="D60" s="385"/>
      <c r="E60" s="385"/>
      <c r="F60" s="385"/>
      <c r="G60" s="389"/>
      <c r="H60" s="389"/>
      <c r="I60" s="425"/>
      <c r="J60" s="426" t="e">
        <f t="shared" ref="J60:J61" si="24">J56/J51*100</f>
        <v>#REF!</v>
      </c>
      <c r="K60" s="362"/>
      <c r="L60" s="385"/>
      <c r="M60" s="375"/>
      <c r="N60" s="375"/>
      <c r="O60" s="375"/>
      <c r="P60" s="375"/>
      <c r="Q60" s="375"/>
      <c r="R60" s="375"/>
      <c r="S60" s="375"/>
      <c r="T60" s="506"/>
    </row>
    <row r="61" spans="1:20" hidden="1" x14ac:dyDescent="0.3">
      <c r="A61" s="521"/>
      <c r="B61" s="416"/>
      <c r="C61" s="385">
        <f t="shared" si="23"/>
        <v>103.89893948845913</v>
      </c>
      <c r="D61" s="385"/>
      <c r="E61" s="385"/>
      <c r="F61" s="385"/>
      <c r="G61" s="389"/>
      <c r="H61" s="389"/>
      <c r="I61" s="425"/>
      <c r="J61" s="426" t="e">
        <f t="shared" si="24"/>
        <v>#REF!</v>
      </c>
      <c r="K61" s="362"/>
      <c r="L61" s="385"/>
      <c r="M61" s="375"/>
      <c r="N61" s="375"/>
      <c r="O61" s="375"/>
      <c r="P61" s="375"/>
      <c r="Q61" s="375"/>
      <c r="R61" s="375"/>
      <c r="S61" s="375"/>
      <c r="T61" s="506"/>
    </row>
    <row r="62" spans="1:20" hidden="1" x14ac:dyDescent="0.3">
      <c r="A62" s="521"/>
      <c r="B62" s="413" t="s">
        <v>109</v>
      </c>
      <c r="C62" s="764" t="s">
        <v>192</v>
      </c>
      <c r="D62" s="764"/>
      <c r="E62" s="764"/>
      <c r="F62" s="764"/>
      <c r="G62" s="422"/>
      <c r="H62" s="422"/>
      <c r="I62" s="460"/>
      <c r="J62" s="419"/>
      <c r="K62" s="362"/>
      <c r="L62" s="362"/>
      <c r="M62" s="375"/>
      <c r="N62" s="375"/>
      <c r="O62" s="375"/>
      <c r="P62" s="375"/>
      <c r="Q62" s="375"/>
      <c r="R62" s="375"/>
      <c r="S62" s="375"/>
      <c r="T62" s="506"/>
    </row>
    <row r="63" spans="1:20" ht="131.25" hidden="1" x14ac:dyDescent="0.3">
      <c r="A63" s="521"/>
      <c r="B63" s="386" t="s">
        <v>199</v>
      </c>
      <c r="C63" s="427">
        <f>'прил к эксп 3'!R11</f>
        <v>3258.2590361445782</v>
      </c>
      <c r="D63" s="427"/>
      <c r="E63" s="427" t="e">
        <f>C63+J38</f>
        <v>#REF!</v>
      </c>
      <c r="F63" s="427" t="e">
        <f>E63*J9</f>
        <v>#REF!</v>
      </c>
      <c r="G63" s="388"/>
      <c r="H63" s="388"/>
      <c r="I63" s="387"/>
      <c r="J63" s="419" t="e">
        <f t="shared" si="22"/>
        <v>#REF!</v>
      </c>
      <c r="K63" s="362" t="e">
        <f>J63*J9</f>
        <v>#REF!</v>
      </c>
      <c r="L63" s="362"/>
      <c r="M63" s="375"/>
      <c r="N63" s="375"/>
      <c r="O63" s="375"/>
      <c r="P63" s="375"/>
      <c r="Q63" s="375"/>
      <c r="R63" s="375"/>
      <c r="S63" s="375"/>
      <c r="T63" s="506"/>
    </row>
    <row r="64" spans="1:20" ht="93.75" hidden="1" x14ac:dyDescent="0.3">
      <c r="A64" s="521"/>
      <c r="B64" s="386" t="s">
        <v>200</v>
      </c>
      <c r="C64" s="427">
        <f>C63</f>
        <v>3258.2590361445782</v>
      </c>
      <c r="D64" s="427"/>
      <c r="E64" s="427" t="e">
        <f>C64+J39</f>
        <v>#REF!</v>
      </c>
      <c r="F64" s="427" t="e">
        <f>E64*J10</f>
        <v>#REF!</v>
      </c>
      <c r="G64" s="388"/>
      <c r="H64" s="388"/>
      <c r="I64" s="387"/>
      <c r="J64" s="419" t="e">
        <f t="shared" si="22"/>
        <v>#REF!</v>
      </c>
      <c r="K64" s="362" t="e">
        <f>J64*J10</f>
        <v>#REF!</v>
      </c>
      <c r="L64" s="362"/>
      <c r="M64" s="375"/>
      <c r="N64" s="375"/>
      <c r="O64" s="375"/>
      <c r="P64" s="375"/>
      <c r="Q64" s="375"/>
      <c r="R64" s="375"/>
      <c r="S64" s="375"/>
      <c r="T64" s="506"/>
    </row>
    <row r="65" spans="1:20" ht="75" hidden="1" x14ac:dyDescent="0.3">
      <c r="A65" s="521"/>
      <c r="B65" s="386" t="s">
        <v>202</v>
      </c>
      <c r="C65" s="427">
        <f>C64</f>
        <v>3258.2590361445782</v>
      </c>
      <c r="D65" s="427"/>
      <c r="E65" s="427" t="e">
        <f>C65+J40</f>
        <v>#REF!</v>
      </c>
      <c r="F65" s="427" t="e">
        <f>E65*J11</f>
        <v>#REF!</v>
      </c>
      <c r="G65" s="388"/>
      <c r="H65" s="388"/>
      <c r="I65" s="387"/>
      <c r="J65" s="419" t="e">
        <f t="shared" si="22"/>
        <v>#REF!</v>
      </c>
      <c r="K65" s="362" t="e">
        <f>J65*J11</f>
        <v>#REF!</v>
      </c>
      <c r="L65" s="362"/>
      <c r="M65" s="375"/>
      <c r="N65" s="375"/>
      <c r="O65" s="375"/>
      <c r="P65" s="375"/>
      <c r="Q65" s="375"/>
      <c r="R65" s="375"/>
      <c r="S65" s="375"/>
      <c r="T65" s="506"/>
    </row>
    <row r="66" spans="1:20" hidden="1" x14ac:dyDescent="0.3">
      <c r="A66" s="521"/>
      <c r="B66" s="416" t="s">
        <v>106</v>
      </c>
      <c r="C66" s="427"/>
      <c r="D66" s="427"/>
      <c r="E66" s="427"/>
      <c r="F66" s="427" t="e">
        <f>F63+F64+F65</f>
        <v>#REF!</v>
      </c>
      <c r="G66" s="388"/>
      <c r="H66" s="388"/>
      <c r="I66" s="387"/>
      <c r="J66" s="428" t="e">
        <f>J63/'прил к эксп 3'!M27*100</f>
        <v>#REF!</v>
      </c>
      <c r="K66" s="362" t="e">
        <f>K63+K64+K65</f>
        <v>#REF!</v>
      </c>
      <c r="L66" s="385">
        <f>'прил к эксп 3'!R19</f>
        <v>2105899.5316000003</v>
      </c>
      <c r="M66" s="375" t="e">
        <f>F66*1.18</f>
        <v>#REF!</v>
      </c>
      <c r="N66" s="375"/>
      <c r="O66" s="375"/>
      <c r="P66" s="375"/>
      <c r="Q66" s="375"/>
      <c r="R66" s="375"/>
      <c r="S66" s="375"/>
      <c r="T66" s="506"/>
    </row>
    <row r="67" spans="1:20" hidden="1" x14ac:dyDescent="0.3">
      <c r="A67" s="521"/>
      <c r="B67" s="416" t="s">
        <v>198</v>
      </c>
      <c r="C67" s="427"/>
      <c r="D67" s="427"/>
      <c r="E67" s="427"/>
      <c r="F67" s="427"/>
      <c r="G67" s="388"/>
      <c r="H67" s="388"/>
      <c r="I67" s="387"/>
      <c r="J67" s="428" t="e">
        <f>J64/'прил к эксп 3'!M28*100</f>
        <v>#REF!</v>
      </c>
      <c r="K67" s="362"/>
      <c r="L67" s="385"/>
      <c r="M67" s="375"/>
      <c r="N67" s="375"/>
      <c r="O67" s="375"/>
      <c r="P67" s="375"/>
      <c r="Q67" s="375"/>
      <c r="R67" s="375"/>
      <c r="S67" s="375"/>
      <c r="T67" s="506"/>
    </row>
    <row r="68" spans="1:20" hidden="1" x14ac:dyDescent="0.3">
      <c r="A68" s="521"/>
      <c r="B68" s="416"/>
      <c r="C68" s="427"/>
      <c r="D68" s="427"/>
      <c r="E68" s="427"/>
      <c r="F68" s="427"/>
      <c r="G68" s="388"/>
      <c r="H68" s="388"/>
      <c r="I68" s="387"/>
      <c r="J68" s="428" t="e">
        <f>J65/'прил к эксп 3'!M26*100</f>
        <v>#REF!</v>
      </c>
      <c r="K68" s="362"/>
      <c r="L68" s="385"/>
      <c r="M68" s="375"/>
      <c r="N68" s="375"/>
      <c r="O68" s="375"/>
      <c r="P68" s="375"/>
      <c r="Q68" s="375"/>
      <c r="R68" s="375"/>
      <c r="S68" s="375"/>
      <c r="T68" s="506"/>
    </row>
    <row r="69" spans="1:20" hidden="1" x14ac:dyDescent="0.3">
      <c r="A69" s="521"/>
      <c r="B69" s="416"/>
      <c r="C69" s="427"/>
      <c r="D69" s="427"/>
      <c r="E69" s="427"/>
      <c r="F69" s="427"/>
      <c r="G69" s="388"/>
      <c r="H69" s="388"/>
      <c r="I69" s="387"/>
      <c r="J69" s="362"/>
      <c r="K69" s="362"/>
      <c r="L69" s="385"/>
      <c r="M69" s="375"/>
      <c r="N69" s="375"/>
      <c r="O69" s="375"/>
      <c r="P69" s="375"/>
      <c r="Q69" s="375"/>
      <c r="R69" s="375"/>
      <c r="S69" s="375"/>
      <c r="T69" s="506"/>
    </row>
    <row r="70" spans="1:20" hidden="1" x14ac:dyDescent="0.3">
      <c r="A70" s="521"/>
      <c r="B70" s="375"/>
      <c r="C70" s="563"/>
      <c r="D70" s="563"/>
      <c r="E70" s="563"/>
      <c r="F70" s="563" t="e">
        <f>F53+F58</f>
        <v>#REF!</v>
      </c>
      <c r="G70" s="525"/>
      <c r="H70" s="525"/>
      <c r="I70" s="524"/>
      <c r="J70" s="429" t="s">
        <v>193</v>
      </c>
      <c r="K70" s="375"/>
      <c r="L70" s="375"/>
      <c r="M70" s="526" t="e">
        <f>K58+K53</f>
        <v>#REF!</v>
      </c>
      <c r="N70" s="375"/>
      <c r="O70" s="375"/>
      <c r="P70" s="375"/>
      <c r="Q70" s="375"/>
      <c r="R70" s="375"/>
      <c r="S70" s="375"/>
      <c r="T70" s="506"/>
    </row>
    <row r="71" spans="1:20" hidden="1" x14ac:dyDescent="0.3">
      <c r="A71" s="521"/>
      <c r="B71" s="375"/>
      <c r="C71" s="564"/>
      <c r="D71" s="564"/>
      <c r="E71" s="564"/>
      <c r="F71" s="564"/>
      <c r="G71" s="519"/>
      <c r="H71" s="519"/>
      <c r="I71" s="375"/>
      <c r="J71" s="375"/>
      <c r="K71" s="375"/>
      <c r="L71" s="375"/>
      <c r="M71" s="375"/>
      <c r="N71" s="375"/>
      <c r="O71" s="375"/>
      <c r="P71" s="375"/>
      <c r="Q71" s="375"/>
      <c r="R71" s="375"/>
      <c r="S71" s="375"/>
      <c r="T71" s="506"/>
    </row>
    <row r="72" spans="1:20" hidden="1" x14ac:dyDescent="0.3">
      <c r="A72" s="521"/>
      <c r="B72" s="375"/>
      <c r="C72" s="564"/>
      <c r="D72" s="564"/>
      <c r="E72" s="564"/>
      <c r="F72" s="564"/>
      <c r="G72" s="519"/>
      <c r="H72" s="519"/>
      <c r="I72" s="375"/>
      <c r="J72" s="375"/>
      <c r="K72" s="375"/>
      <c r="L72" s="375"/>
      <c r="M72" s="375"/>
      <c r="N72" s="375"/>
      <c r="O72" s="375"/>
      <c r="P72" s="375"/>
      <c r="Q72" s="375"/>
      <c r="R72" s="375"/>
      <c r="S72" s="375"/>
      <c r="T72" s="506"/>
    </row>
    <row r="73" spans="1:20" hidden="1" x14ac:dyDescent="0.3">
      <c r="A73" s="521"/>
      <c r="B73" s="375"/>
      <c r="C73" s="564"/>
      <c r="D73" s="564"/>
      <c r="E73" s="564"/>
      <c r="F73" s="564"/>
      <c r="G73" s="519"/>
      <c r="H73" s="519"/>
      <c r="I73" s="375"/>
      <c r="J73" s="375"/>
      <c r="K73" s="375"/>
      <c r="L73" s="375"/>
      <c r="M73" s="375"/>
      <c r="N73" s="375"/>
      <c r="O73" s="375"/>
      <c r="P73" s="375"/>
      <c r="Q73" s="375"/>
      <c r="R73" s="375"/>
      <c r="S73" s="375"/>
      <c r="T73" s="506"/>
    </row>
    <row r="74" spans="1:20" ht="112.5" x14ac:dyDescent="0.3">
      <c r="A74" s="527">
        <v>4</v>
      </c>
      <c r="B74" s="377" t="s">
        <v>246</v>
      </c>
      <c r="C74" s="565"/>
      <c r="D74" s="565"/>
      <c r="E74" s="565">
        <f>'прил к эксп 2'!D30</f>
        <v>4990.6801999999989</v>
      </c>
      <c r="F74" s="565">
        <f>F24</f>
        <v>4522.46</v>
      </c>
      <c r="G74" s="519"/>
      <c r="H74" s="519"/>
      <c r="I74" s="375"/>
      <c r="J74" s="375"/>
      <c r="K74" s="375"/>
      <c r="L74" s="375"/>
      <c r="M74" s="375"/>
      <c r="N74" s="375"/>
      <c r="O74" s="375"/>
      <c r="P74" s="375"/>
      <c r="Q74" s="375"/>
      <c r="R74" s="375"/>
      <c r="S74" s="375"/>
      <c r="T74" s="528">
        <f>'прил к эксп 2'!K30</f>
        <v>5358.6749999999993</v>
      </c>
    </row>
    <row r="75" spans="1:20" ht="98.25" customHeight="1" x14ac:dyDescent="0.3">
      <c r="A75" s="527">
        <v>5</v>
      </c>
      <c r="B75" s="377" t="s">
        <v>247</v>
      </c>
      <c r="C75" s="565"/>
      <c r="D75" s="565"/>
      <c r="E75" s="565">
        <f>'прил к эксп 2'!D31</f>
        <v>4990.6801999999989</v>
      </c>
      <c r="F75" s="565">
        <f>F24</f>
        <v>4522.46</v>
      </c>
      <c r="G75" s="519"/>
      <c r="H75" s="519"/>
      <c r="I75" s="375"/>
      <c r="J75" s="375"/>
      <c r="K75" s="375"/>
      <c r="L75" s="375"/>
      <c r="M75" s="375"/>
      <c r="N75" s="375"/>
      <c r="O75" s="375"/>
      <c r="P75" s="375"/>
      <c r="Q75" s="375"/>
      <c r="R75" s="375"/>
      <c r="S75" s="375"/>
      <c r="T75" s="528">
        <f>'прил к эксп 2'!K31</f>
        <v>5358.6749999999993</v>
      </c>
    </row>
    <row r="76" spans="1:20" ht="46.5" customHeight="1" thickBot="1" x14ac:dyDescent="0.35">
      <c r="A76" s="529">
        <v>6</v>
      </c>
      <c r="B76" s="530" t="s">
        <v>243</v>
      </c>
      <c r="C76" s="566"/>
      <c r="D76" s="566"/>
      <c r="E76" s="566">
        <v>3776</v>
      </c>
      <c r="F76" s="566">
        <f>F24</f>
        <v>4522.46</v>
      </c>
      <c r="G76" s="531"/>
      <c r="H76" s="531"/>
      <c r="I76" s="532"/>
      <c r="J76" s="532"/>
      <c r="K76" s="532"/>
      <c r="L76" s="532"/>
      <c r="M76" s="532"/>
      <c r="N76" s="532"/>
      <c r="O76" s="532"/>
      <c r="P76" s="532"/>
      <c r="Q76" s="532"/>
      <c r="R76" s="532"/>
      <c r="S76" s="532"/>
      <c r="T76" s="533">
        <f>T24</f>
        <v>5358.6749999999993</v>
      </c>
    </row>
    <row r="78" spans="1:20" hidden="1" x14ac:dyDescent="0.3">
      <c r="A78" s="773" t="s">
        <v>242</v>
      </c>
      <c r="B78" s="773"/>
    </row>
    <row r="79" spans="1:20" ht="53.25" hidden="1" customHeight="1" x14ac:dyDescent="0.3">
      <c r="A79" s="772" t="s">
        <v>241</v>
      </c>
      <c r="B79" s="772"/>
      <c r="C79" s="772"/>
      <c r="D79" s="772"/>
      <c r="E79" s="772"/>
      <c r="F79" s="772"/>
    </row>
  </sheetData>
  <mergeCells count="14">
    <mergeCell ref="Z5:AA6"/>
    <mergeCell ref="F5:T5"/>
    <mergeCell ref="A79:F79"/>
    <mergeCell ref="A78:B78"/>
    <mergeCell ref="C62:F62"/>
    <mergeCell ref="A5:A6"/>
    <mergeCell ref="B5:B6"/>
    <mergeCell ref="D5:D6"/>
    <mergeCell ref="E1:T1"/>
    <mergeCell ref="E4:J4"/>
    <mergeCell ref="C49:F49"/>
    <mergeCell ref="C54:F54"/>
    <mergeCell ref="D2:T2"/>
    <mergeCell ref="A3:T3"/>
  </mergeCells>
  <printOptions horizontalCentered="1"/>
  <pageMargins left="0.31496062992125984" right="0.31496062992125984" top="0.55118110236220474" bottom="0.55118110236220474" header="0" footer="0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P67"/>
  <sheetViews>
    <sheetView topLeftCell="A10" zoomScale="90" zoomScaleNormal="90" workbookViewId="0">
      <selection activeCell="B40" sqref="B40"/>
    </sheetView>
  </sheetViews>
  <sheetFormatPr defaultRowHeight="12.75" x14ac:dyDescent="0.2"/>
  <cols>
    <col min="1" max="1" width="5.7109375" customWidth="1"/>
    <col min="2" max="2" width="72.42578125" customWidth="1"/>
    <col min="3" max="3" width="14.42578125" customWidth="1"/>
    <col min="4" max="4" width="18.5703125" customWidth="1"/>
    <col min="5" max="5" width="23.42578125" customWidth="1"/>
    <col min="6" max="6" width="16.5703125" customWidth="1"/>
    <col min="7" max="7" width="20.7109375" customWidth="1"/>
    <col min="8" max="8" width="18.85546875" customWidth="1"/>
    <col min="9" max="9" width="17.42578125" customWidth="1"/>
    <col min="10" max="10" width="13" customWidth="1"/>
  </cols>
  <sheetData>
    <row r="1" spans="1:16" ht="66.75" customHeight="1" x14ac:dyDescent="0.2">
      <c r="E1" s="777" t="s">
        <v>207</v>
      </c>
      <c r="F1" s="777"/>
      <c r="G1" s="777"/>
      <c r="P1" s="112" t="s">
        <v>115</v>
      </c>
    </row>
    <row r="2" spans="1:16" ht="51.75" customHeight="1" x14ac:dyDescent="0.2">
      <c r="A2" s="692" t="s">
        <v>206</v>
      </c>
      <c r="B2" s="692"/>
      <c r="C2" s="692"/>
      <c r="D2" s="692"/>
      <c r="E2" s="692"/>
      <c r="F2" s="692"/>
      <c r="G2" s="692"/>
      <c r="H2" s="235"/>
      <c r="P2" s="113">
        <v>1.18</v>
      </c>
    </row>
    <row r="3" spans="1:16" ht="51.75" customHeight="1" x14ac:dyDescent="0.2">
      <c r="A3" s="209"/>
      <c r="B3" s="209"/>
      <c r="C3" s="209"/>
      <c r="D3" s="700" t="s">
        <v>188</v>
      </c>
      <c r="E3" s="700"/>
      <c r="F3" s="700"/>
      <c r="G3" s="700"/>
      <c r="H3" s="122"/>
      <c r="P3" s="123"/>
    </row>
    <row r="4" spans="1:16" ht="94.5" customHeight="1" x14ac:dyDescent="0.2">
      <c r="A4" s="55" t="s">
        <v>1</v>
      </c>
      <c r="B4" s="55" t="s">
        <v>49</v>
      </c>
      <c r="C4" s="55" t="s">
        <v>50</v>
      </c>
      <c r="D4" s="55" t="s">
        <v>203</v>
      </c>
      <c r="E4" s="55" t="s">
        <v>204</v>
      </c>
      <c r="F4" s="55" t="s">
        <v>196</v>
      </c>
      <c r="G4" s="55" t="s">
        <v>189</v>
      </c>
      <c r="H4" s="234"/>
      <c r="P4" s="123"/>
    </row>
    <row r="5" spans="1:16" ht="15.75" x14ac:dyDescent="0.2">
      <c r="A5" s="207">
        <v>1</v>
      </c>
      <c r="B5" s="16" t="s">
        <v>14</v>
      </c>
      <c r="C5" s="16"/>
      <c r="D5" s="115" t="e">
        <f>#REF!</f>
        <v>#REF!</v>
      </c>
      <c r="E5" s="115">
        <f>'прил к эксп 3'!P10</f>
        <v>173.5</v>
      </c>
      <c r="F5" s="115" t="e">
        <f>E5/D5*100</f>
        <v>#REF!</v>
      </c>
      <c r="G5" s="115">
        <f>'прил к эксп 3'!R10</f>
        <v>415</v>
      </c>
    </row>
    <row r="6" spans="1:16" ht="78.75" x14ac:dyDescent="0.2">
      <c r="A6" s="207"/>
      <c r="B6" s="16" t="s">
        <v>199</v>
      </c>
      <c r="C6" s="16"/>
      <c r="D6" s="114" t="e">
        <f>#REF!</f>
        <v>#REF!</v>
      </c>
      <c r="E6" s="114" t="e">
        <f>#REF!</f>
        <v>#REF!</v>
      </c>
      <c r="F6" s="115" t="e">
        <f t="shared" ref="F6:F37" si="0">E6/D6*100</f>
        <v>#REF!</v>
      </c>
      <c r="G6" s="114" t="e">
        <f>#REF!</f>
        <v>#REF!</v>
      </c>
      <c r="H6" s="175"/>
    </row>
    <row r="7" spans="1:16" ht="63" x14ac:dyDescent="0.2">
      <c r="A7" s="207"/>
      <c r="B7" s="16" t="s">
        <v>200</v>
      </c>
      <c r="C7" s="16"/>
      <c r="D7" s="114" t="e">
        <f>#REF!+#REF!</f>
        <v>#REF!</v>
      </c>
      <c r="E7" s="114" t="e">
        <f>#REF!+#REF!</f>
        <v>#REF!</v>
      </c>
      <c r="F7" s="115" t="e">
        <f t="shared" si="0"/>
        <v>#REF!</v>
      </c>
      <c r="G7" s="114" t="e">
        <f>#REF!+#REF!</f>
        <v>#REF!</v>
      </c>
    </row>
    <row r="8" spans="1:16" ht="47.25" x14ac:dyDescent="0.2">
      <c r="A8" s="207"/>
      <c r="B8" s="16" t="s">
        <v>201</v>
      </c>
      <c r="C8" s="16"/>
      <c r="D8" s="114" t="e">
        <f>#REF!+#REF!+#REF!</f>
        <v>#REF!</v>
      </c>
      <c r="E8" s="114" t="e">
        <f>#REF!+#REF!+#REF!</f>
        <v>#REF!</v>
      </c>
      <c r="F8" s="115" t="e">
        <f t="shared" si="0"/>
        <v>#REF!</v>
      </c>
      <c r="G8" s="114" t="e">
        <f>#REF!+#REF!+#REF!</f>
        <v>#REF!</v>
      </c>
    </row>
    <row r="9" spans="1:16" ht="15.75" x14ac:dyDescent="0.2">
      <c r="A9" s="207">
        <v>2</v>
      </c>
      <c r="B9" s="24" t="s">
        <v>15</v>
      </c>
      <c r="C9" s="24"/>
      <c r="D9" s="115">
        <f>'прил к эксп 3'!N11</f>
        <v>3206</v>
      </c>
      <c r="E9" s="115">
        <f>'прил к эксп 3'!P11</f>
        <v>3331</v>
      </c>
      <c r="F9" s="216">
        <f t="shared" si="0"/>
        <v>103.89893948845913</v>
      </c>
      <c r="G9" s="115">
        <f>'прил к эксп 3'!R11</f>
        <v>3258.2590361445782</v>
      </c>
    </row>
    <row r="10" spans="1:16" ht="15.75" x14ac:dyDescent="0.2">
      <c r="A10" s="207">
        <v>3</v>
      </c>
      <c r="B10" s="24" t="s">
        <v>16</v>
      </c>
      <c r="C10" s="24"/>
      <c r="D10" s="115">
        <f>'прил к эксп 3'!N12</f>
        <v>817.28</v>
      </c>
      <c r="E10" s="115">
        <f>'прил к эксп 3'!P12</f>
        <v>854.06</v>
      </c>
      <c r="F10" s="216">
        <f t="shared" si="0"/>
        <v>104.50029365700861</v>
      </c>
      <c r="G10" s="115">
        <f>'прил к эксп 3'!R12</f>
        <v>832.65669879518077</v>
      </c>
    </row>
    <row r="11" spans="1:16" ht="15.75" x14ac:dyDescent="0.2">
      <c r="A11" s="207">
        <v>4</v>
      </c>
      <c r="B11" s="24" t="s">
        <v>17</v>
      </c>
      <c r="C11" s="24"/>
      <c r="D11" s="115">
        <f>'прил к эксп 3'!N13</f>
        <v>206.11</v>
      </c>
      <c r="E11" s="115">
        <f>'прил к эксп 3'!P13</f>
        <v>214.15</v>
      </c>
      <c r="F11" s="216">
        <f t="shared" si="0"/>
        <v>103.90082965406822</v>
      </c>
      <c r="G11" s="115">
        <f>'прил к эксп 3'!R13</f>
        <v>209.47130120481927</v>
      </c>
    </row>
    <row r="12" spans="1:16" s="187" customFormat="1" ht="15.75" x14ac:dyDescent="0.2">
      <c r="A12" s="208">
        <v>5</v>
      </c>
      <c r="B12" s="117" t="s">
        <v>114</v>
      </c>
      <c r="C12" s="117"/>
      <c r="D12" s="117" t="e">
        <f>(D11*D5+D5*D10)/D5</f>
        <v>#REF!</v>
      </c>
      <c r="E12" s="117">
        <f t="shared" ref="E12:G12" si="1">(E11*E5+E5*E10)/E5</f>
        <v>1068.21</v>
      </c>
      <c r="F12" s="216" t="e">
        <f t="shared" si="0"/>
        <v>#REF!</v>
      </c>
      <c r="G12" s="117">
        <f t="shared" si="1"/>
        <v>1042.1279999999999</v>
      </c>
    </row>
    <row r="13" spans="1:16" ht="15.75" x14ac:dyDescent="0.2">
      <c r="A13" s="207">
        <v>6</v>
      </c>
      <c r="B13" s="112" t="s">
        <v>116</v>
      </c>
      <c r="C13" s="112"/>
      <c r="D13" s="115" t="e">
        <f>(D9+D12)</f>
        <v>#REF!</v>
      </c>
      <c r="E13" s="115">
        <f t="shared" ref="E13:G13" si="2">(E9+E12)</f>
        <v>4399.21</v>
      </c>
      <c r="F13" s="216" t="e">
        <f t="shared" si="0"/>
        <v>#REF!</v>
      </c>
      <c r="G13" s="115">
        <f t="shared" si="2"/>
        <v>4300.3870361445779</v>
      </c>
    </row>
    <row r="14" spans="1:16" s="187" customFormat="1" ht="15.75" x14ac:dyDescent="0.2">
      <c r="A14" s="208">
        <v>7</v>
      </c>
      <c r="B14" s="117" t="s">
        <v>117</v>
      </c>
      <c r="C14" s="117"/>
      <c r="D14" s="117" t="e">
        <f>D13*$P$2</f>
        <v>#REF!</v>
      </c>
      <c r="E14" s="117">
        <f t="shared" ref="E14:G14" si="3">E13*$P$2</f>
        <v>5191.0677999999998</v>
      </c>
      <c r="F14" s="216" t="e">
        <f t="shared" si="0"/>
        <v>#REF!</v>
      </c>
      <c r="G14" s="117">
        <f t="shared" si="3"/>
        <v>5074.456702650602</v>
      </c>
    </row>
    <row r="15" spans="1:16" s="187" customFormat="1" ht="15.75" x14ac:dyDescent="0.2">
      <c r="A15" s="205">
        <v>8</v>
      </c>
      <c r="B15" s="173" t="s">
        <v>118</v>
      </c>
      <c r="C15" s="173"/>
      <c r="D15" s="173" t="e">
        <f>D12*D5/(D6*D17+D7*D18+D8*D19)</f>
        <v>#REF!</v>
      </c>
      <c r="E15" s="173" t="e">
        <f t="shared" ref="E15:G15" si="4">E12*E5/(E6*E17+E7*E18+E8*E19)</f>
        <v>#REF!</v>
      </c>
      <c r="F15" s="115" t="e">
        <f t="shared" si="0"/>
        <v>#REF!</v>
      </c>
      <c r="G15" s="173" t="e">
        <f t="shared" si="4"/>
        <v>#REF!</v>
      </c>
    </row>
    <row r="16" spans="1:16" x14ac:dyDescent="0.2">
      <c r="A16" s="178"/>
      <c r="B16" s="183" t="s">
        <v>119</v>
      </c>
      <c r="C16" s="183"/>
      <c r="D16" s="178"/>
      <c r="E16" s="178"/>
      <c r="F16" s="115"/>
      <c r="G16" s="178"/>
    </row>
    <row r="17" spans="1:12" ht="78.75" x14ac:dyDescent="0.2">
      <c r="A17" s="178"/>
      <c r="B17" s="16" t="s">
        <v>199</v>
      </c>
      <c r="C17" s="179"/>
      <c r="D17" s="180">
        <v>1</v>
      </c>
      <c r="E17" s="215">
        <v>6</v>
      </c>
      <c r="F17" s="115"/>
      <c r="G17" s="180" t="e">
        <f>(D17*D6+E17*E6)/G6</f>
        <v>#REF!</v>
      </c>
    </row>
    <row r="18" spans="1:12" ht="63" x14ac:dyDescent="0.2">
      <c r="A18" s="178"/>
      <c r="B18" s="16" t="s">
        <v>200</v>
      </c>
      <c r="C18" s="179"/>
      <c r="D18" s="180">
        <v>1</v>
      </c>
      <c r="E18" s="215">
        <v>3.5</v>
      </c>
      <c r="F18" s="115"/>
      <c r="G18" s="180" t="e">
        <f>(D18*D7+E18*E7)/G7</f>
        <v>#REF!</v>
      </c>
    </row>
    <row r="19" spans="1:12" ht="47.25" x14ac:dyDescent="0.2">
      <c r="A19" s="178"/>
      <c r="B19" s="16" t="s">
        <v>202</v>
      </c>
      <c r="C19" s="179"/>
      <c r="D19" s="180">
        <v>1</v>
      </c>
      <c r="E19" s="215">
        <v>2</v>
      </c>
      <c r="F19" s="115"/>
      <c r="G19" s="180" t="e">
        <f>(D19*D8+E19*E8)/G8</f>
        <v>#REF!</v>
      </c>
    </row>
    <row r="20" spans="1:12" s="187" customFormat="1" ht="39.75" customHeight="1" x14ac:dyDescent="0.3">
      <c r="A20" s="236">
        <v>9</v>
      </c>
      <c r="B20" s="237" t="s">
        <v>120</v>
      </c>
      <c r="C20" s="238"/>
      <c r="D20" s="236"/>
      <c r="E20" s="236"/>
      <c r="F20" s="239"/>
      <c r="G20" s="236"/>
    </row>
    <row r="21" spans="1:12" ht="78.75" customHeight="1" x14ac:dyDescent="0.2">
      <c r="A21" s="113"/>
      <c r="B21" s="240" t="s">
        <v>199</v>
      </c>
      <c r="C21" s="241"/>
      <c r="D21" s="113" t="e">
        <f>(D9+D15*D17)*$P$2</f>
        <v>#REF!</v>
      </c>
      <c r="E21" s="113" t="e">
        <f>($E$9+$E$15*E17)*$P$2</f>
        <v>#REF!</v>
      </c>
      <c r="F21" s="239" t="e">
        <f t="shared" si="0"/>
        <v>#REF!</v>
      </c>
      <c r="G21" s="113" t="e">
        <f>($G$9+$G$15*G17)*$P$2</f>
        <v>#REF!</v>
      </c>
    </row>
    <row r="22" spans="1:12" ht="63" x14ac:dyDescent="0.2">
      <c r="A22" s="113"/>
      <c r="B22" s="240" t="s">
        <v>200</v>
      </c>
      <c r="C22" s="242"/>
      <c r="D22" s="113" t="e">
        <f>($D$9+$D$15*D18)*$P$2</f>
        <v>#REF!</v>
      </c>
      <c r="E22" s="113" t="e">
        <f t="shared" ref="E22:E23" si="5">($E$9+$E$15*E18)*$P$2</f>
        <v>#REF!</v>
      </c>
      <c r="F22" s="239" t="e">
        <f t="shared" si="0"/>
        <v>#REF!</v>
      </c>
      <c r="G22" s="113" t="e">
        <f t="shared" ref="G22:G23" si="6">($G$9+$G$15*G18)*$P$2</f>
        <v>#REF!</v>
      </c>
    </row>
    <row r="23" spans="1:12" ht="47.25" x14ac:dyDescent="0.2">
      <c r="A23" s="113"/>
      <c r="B23" s="240" t="s">
        <v>202</v>
      </c>
      <c r="C23" s="242"/>
      <c r="D23" s="113" t="e">
        <f>($D$9+$D$15*D19)*$P$2</f>
        <v>#REF!</v>
      </c>
      <c r="E23" s="113" t="e">
        <f t="shared" si="5"/>
        <v>#REF!</v>
      </c>
      <c r="F23" s="239" t="e">
        <f t="shared" si="0"/>
        <v>#REF!</v>
      </c>
      <c r="G23" s="113" t="e">
        <f t="shared" si="6"/>
        <v>#REF!</v>
      </c>
    </row>
    <row r="24" spans="1:12" x14ac:dyDescent="0.2">
      <c r="A24" s="181"/>
      <c r="B24" s="182" t="s">
        <v>119</v>
      </c>
      <c r="C24" s="182"/>
      <c r="D24" s="181"/>
      <c r="E24" s="181"/>
      <c r="F24" s="115"/>
      <c r="G24" s="181" t="e">
        <f t="shared" ref="G24" si="7">G25+G26+G27</f>
        <v>#REF!</v>
      </c>
      <c r="H24">
        <v>1</v>
      </c>
      <c r="I24">
        <v>1</v>
      </c>
      <c r="J24">
        <v>1</v>
      </c>
    </row>
    <row r="25" spans="1:12" ht="78.75" x14ac:dyDescent="0.2">
      <c r="A25" s="181"/>
      <c r="B25" s="16" t="s">
        <v>199</v>
      </c>
      <c r="C25" s="182"/>
      <c r="D25" s="181">
        <f>D17</f>
        <v>1</v>
      </c>
      <c r="E25" s="181">
        <f t="shared" ref="E25:G27" si="8">E17</f>
        <v>6</v>
      </c>
      <c r="F25" s="115"/>
      <c r="G25" s="181" t="e">
        <f t="shared" si="8"/>
        <v>#REF!</v>
      </c>
      <c r="J25" t="e">
        <f t="shared" ref="J25" si="9">G25*J24/G24</f>
        <v>#REF!</v>
      </c>
    </row>
    <row r="26" spans="1:12" ht="63" x14ac:dyDescent="0.2">
      <c r="A26" s="181"/>
      <c r="B26" s="16" t="s">
        <v>200</v>
      </c>
      <c r="C26" s="182"/>
      <c r="D26" s="181">
        <f>D18</f>
        <v>1</v>
      </c>
      <c r="E26" s="181">
        <f t="shared" si="8"/>
        <v>3.5</v>
      </c>
      <c r="F26" s="115"/>
      <c r="G26" s="181" t="e">
        <f t="shared" si="8"/>
        <v>#REF!</v>
      </c>
      <c r="J26" t="e">
        <f t="shared" ref="J26" si="10">G26*J24/G24</f>
        <v>#REF!</v>
      </c>
    </row>
    <row r="27" spans="1:12" ht="47.25" x14ac:dyDescent="0.2">
      <c r="A27" s="181"/>
      <c r="B27" s="16" t="s">
        <v>202</v>
      </c>
      <c r="C27" s="182"/>
      <c r="D27" s="181">
        <f>D19</f>
        <v>1</v>
      </c>
      <c r="E27" s="181">
        <f t="shared" si="8"/>
        <v>2</v>
      </c>
      <c r="F27" s="115"/>
      <c r="G27" s="181" t="e">
        <f t="shared" si="8"/>
        <v>#REF!</v>
      </c>
      <c r="J27" t="e">
        <f t="shared" ref="J27" si="11">G27*J24/G24</f>
        <v>#REF!</v>
      </c>
    </row>
    <row r="28" spans="1:12" x14ac:dyDescent="0.2">
      <c r="A28" s="116"/>
      <c r="B28" s="116" t="s">
        <v>85</v>
      </c>
      <c r="C28" s="116" t="s">
        <v>65</v>
      </c>
      <c r="D28" s="174" t="e">
        <f>D29+D30+D31</f>
        <v>#REF!</v>
      </c>
      <c r="E28" s="174" t="e">
        <f t="shared" ref="E28:G28" si="12">E29+E30+E31</f>
        <v>#REF!</v>
      </c>
      <c r="F28" s="115" t="e">
        <f t="shared" si="0"/>
        <v>#REF!</v>
      </c>
      <c r="G28" s="174" t="e">
        <f t="shared" si="12"/>
        <v>#REF!</v>
      </c>
      <c r="H28" s="177"/>
      <c r="I28" s="177"/>
      <c r="J28" s="177"/>
      <c r="K28" s="177"/>
      <c r="L28" s="177"/>
    </row>
    <row r="29" spans="1:12" ht="78.75" x14ac:dyDescent="0.2">
      <c r="A29" s="116"/>
      <c r="B29" s="16" t="s">
        <v>199</v>
      </c>
      <c r="C29" s="116" t="s">
        <v>65</v>
      </c>
      <c r="D29" s="174" t="e">
        <f>D6*D25</f>
        <v>#REF!</v>
      </c>
      <c r="E29" s="174" t="e">
        <f t="shared" ref="E29:G29" si="13">E6*E25</f>
        <v>#REF!</v>
      </c>
      <c r="F29" s="115" t="e">
        <f t="shared" si="0"/>
        <v>#REF!</v>
      </c>
      <c r="G29" s="174" t="e">
        <f t="shared" si="13"/>
        <v>#REF!</v>
      </c>
    </row>
    <row r="30" spans="1:12" ht="63" x14ac:dyDescent="0.2">
      <c r="A30" s="116"/>
      <c r="B30" s="16" t="s">
        <v>200</v>
      </c>
      <c r="C30" s="116" t="s">
        <v>65</v>
      </c>
      <c r="D30" s="174" t="e">
        <f t="shared" ref="D30:G31" si="14">D7*D26</f>
        <v>#REF!</v>
      </c>
      <c r="E30" s="174" t="e">
        <f t="shared" si="14"/>
        <v>#REF!</v>
      </c>
      <c r="F30" s="115" t="e">
        <f t="shared" si="0"/>
        <v>#REF!</v>
      </c>
      <c r="G30" s="174" t="e">
        <f t="shared" si="14"/>
        <v>#REF!</v>
      </c>
    </row>
    <row r="31" spans="1:12" ht="47.25" x14ac:dyDescent="0.2">
      <c r="A31" s="116"/>
      <c r="B31" s="16" t="s">
        <v>202</v>
      </c>
      <c r="C31" s="116" t="s">
        <v>65</v>
      </c>
      <c r="D31" s="174" t="e">
        <f t="shared" si="14"/>
        <v>#REF!</v>
      </c>
      <c r="E31" s="174" t="e">
        <f t="shared" si="14"/>
        <v>#REF!</v>
      </c>
      <c r="F31" s="115" t="e">
        <f t="shared" si="0"/>
        <v>#REF!</v>
      </c>
      <c r="G31" s="174" t="e">
        <f t="shared" si="14"/>
        <v>#REF!</v>
      </c>
    </row>
    <row r="32" spans="1:12" x14ac:dyDescent="0.2">
      <c r="A32" s="116"/>
      <c r="B32" s="116" t="s">
        <v>93</v>
      </c>
      <c r="C32" s="116" t="s">
        <v>65</v>
      </c>
      <c r="D32" s="116" t="e">
        <f>D28</f>
        <v>#REF!</v>
      </c>
      <c r="E32" s="116" t="e">
        <f t="shared" ref="E32:G32" si="15">E28</f>
        <v>#REF!</v>
      </c>
      <c r="F32" s="115" t="e">
        <f t="shared" si="0"/>
        <v>#REF!</v>
      </c>
      <c r="G32" s="116" t="e">
        <f t="shared" si="15"/>
        <v>#REF!</v>
      </c>
      <c r="I32" s="231" t="e">
        <f>(E25*E6+E26*E7+E27*E8)/E5</f>
        <v>#REF!</v>
      </c>
      <c r="J32" s="231" t="e">
        <f>I32*E5</f>
        <v>#REF!</v>
      </c>
    </row>
    <row r="33" spans="1:9" x14ac:dyDescent="0.2">
      <c r="A33" s="116"/>
      <c r="B33" s="112" t="s">
        <v>182</v>
      </c>
      <c r="C33" s="116" t="s">
        <v>72</v>
      </c>
      <c r="D33" s="116" t="e">
        <f>(D5*D12)/D32</f>
        <v>#REF!</v>
      </c>
      <c r="E33" s="116" t="e">
        <f t="shared" ref="E33:G33" si="16">(E5*E12)/E32</f>
        <v>#REF!</v>
      </c>
      <c r="F33" s="115" t="e">
        <f t="shared" si="0"/>
        <v>#REF!</v>
      </c>
      <c r="G33" s="116" t="e">
        <f t="shared" si="16"/>
        <v>#REF!</v>
      </c>
    </row>
    <row r="34" spans="1:9" x14ac:dyDescent="0.2">
      <c r="A34" s="116"/>
      <c r="B34" s="116" t="s">
        <v>97</v>
      </c>
      <c r="C34" s="116"/>
      <c r="D34" s="116"/>
      <c r="E34" s="116"/>
      <c r="F34" s="115"/>
      <c r="G34" s="116"/>
    </row>
    <row r="35" spans="1:9" ht="78.75" x14ac:dyDescent="0.2">
      <c r="A35" s="116"/>
      <c r="B35" s="16" t="s">
        <v>199</v>
      </c>
      <c r="C35" s="116" t="s">
        <v>72</v>
      </c>
      <c r="D35" s="116" t="e">
        <f>$D$33*D25</f>
        <v>#REF!</v>
      </c>
      <c r="E35" s="116" t="e">
        <f>$E$33*E25</f>
        <v>#REF!</v>
      </c>
      <c r="F35" s="115" t="e">
        <f t="shared" si="0"/>
        <v>#REF!</v>
      </c>
      <c r="G35" s="116" t="e">
        <f>$G$33*G25</f>
        <v>#REF!</v>
      </c>
    </row>
    <row r="36" spans="1:9" ht="63" x14ac:dyDescent="0.2">
      <c r="A36" s="116"/>
      <c r="B36" s="16" t="s">
        <v>200</v>
      </c>
      <c r="C36" s="116" t="s">
        <v>72</v>
      </c>
      <c r="D36" s="116" t="e">
        <f t="shared" ref="D36:D37" si="17">$D$33*D26</f>
        <v>#REF!</v>
      </c>
      <c r="E36" s="116" t="e">
        <f t="shared" ref="E36" si="18">$E$33*E26</f>
        <v>#REF!</v>
      </c>
      <c r="F36" s="115" t="e">
        <f t="shared" si="0"/>
        <v>#REF!</v>
      </c>
      <c r="G36" s="116" t="e">
        <f t="shared" ref="G36:G37" si="19">$G$33*G26</f>
        <v>#REF!</v>
      </c>
    </row>
    <row r="37" spans="1:9" ht="47.25" x14ac:dyDescent="0.2">
      <c r="A37" s="116"/>
      <c r="B37" s="16" t="s">
        <v>202</v>
      </c>
      <c r="C37" s="116" t="s">
        <v>72</v>
      </c>
      <c r="D37" s="116" t="e">
        <f t="shared" si="17"/>
        <v>#REF!</v>
      </c>
      <c r="E37" s="116" t="e">
        <f>$E$33*E27</f>
        <v>#REF!</v>
      </c>
      <c r="F37" s="115" t="e">
        <f t="shared" si="0"/>
        <v>#REF!</v>
      </c>
      <c r="G37" s="116" t="e">
        <f t="shared" si="19"/>
        <v>#REF!</v>
      </c>
    </row>
    <row r="38" spans="1:9" ht="10.5" customHeight="1" x14ac:dyDescent="0.2"/>
    <row r="39" spans="1:9" ht="15.75" x14ac:dyDescent="0.2">
      <c r="B39" s="95" t="s">
        <v>205</v>
      </c>
      <c r="C39" s="96"/>
      <c r="D39" s="94"/>
      <c r="E39" s="94"/>
      <c r="F39" s="94"/>
      <c r="G39" s="94"/>
    </row>
    <row r="40" spans="1:9" ht="78.75" x14ac:dyDescent="0.2">
      <c r="B40" s="16" t="s">
        <v>199</v>
      </c>
      <c r="C40" s="90" t="s">
        <v>57</v>
      </c>
      <c r="D40" s="97" t="e">
        <f>D35*D6</f>
        <v>#REF!</v>
      </c>
      <c r="E40" s="97" t="e">
        <f t="shared" ref="E40:G40" si="20">E35*E6</f>
        <v>#REF!</v>
      </c>
      <c r="F40" s="211"/>
      <c r="G40" s="97" t="e">
        <f t="shared" si="20"/>
        <v>#REF!</v>
      </c>
      <c r="H40" s="218"/>
    </row>
    <row r="41" spans="1:9" ht="63" x14ac:dyDescent="0.2">
      <c r="B41" s="16" t="s">
        <v>200</v>
      </c>
      <c r="C41" s="90" t="s">
        <v>57</v>
      </c>
      <c r="D41" s="97" t="e">
        <f t="shared" ref="D41:G42" si="21">D36*D7</f>
        <v>#REF!</v>
      </c>
      <c r="E41" s="97" t="e">
        <f t="shared" si="21"/>
        <v>#REF!</v>
      </c>
      <c r="F41" s="211"/>
      <c r="G41" s="97" t="e">
        <f t="shared" si="21"/>
        <v>#REF!</v>
      </c>
      <c r="H41" s="218"/>
    </row>
    <row r="42" spans="1:9" ht="47.25" x14ac:dyDescent="0.2">
      <c r="B42" s="16" t="s">
        <v>202</v>
      </c>
      <c r="C42" s="100" t="s">
        <v>57</v>
      </c>
      <c r="D42" s="97" t="e">
        <f t="shared" si="21"/>
        <v>#REF!</v>
      </c>
      <c r="E42" s="97" t="e">
        <f t="shared" si="21"/>
        <v>#REF!</v>
      </c>
      <c r="F42" s="211"/>
      <c r="G42" s="97" t="e">
        <f t="shared" si="21"/>
        <v>#REF!</v>
      </c>
      <c r="H42" s="218"/>
    </row>
    <row r="43" spans="1:9" ht="15.75" x14ac:dyDescent="0.2">
      <c r="B43" s="102" t="s">
        <v>106</v>
      </c>
      <c r="C43" s="100" t="s">
        <v>57</v>
      </c>
      <c r="D43" s="103" t="e">
        <f>D40+D41+D42</f>
        <v>#REF!</v>
      </c>
      <c r="E43" s="103" t="e">
        <f t="shared" ref="E43:G43" si="22">E40+E41+E42</f>
        <v>#REF!</v>
      </c>
      <c r="F43" s="212"/>
      <c r="G43" s="103" t="e">
        <f t="shared" si="22"/>
        <v>#REF!</v>
      </c>
    </row>
    <row r="44" spans="1:9" ht="15.75" x14ac:dyDescent="0.2">
      <c r="A44" s="185"/>
      <c r="B44" s="95"/>
      <c r="C44" s="105"/>
      <c r="D44" s="186"/>
      <c r="E44" s="186"/>
      <c r="F44" s="186"/>
      <c r="G44" s="186"/>
      <c r="H44" s="54"/>
    </row>
    <row r="45" spans="1:9" ht="15.75" x14ac:dyDescent="0.2">
      <c r="B45" s="188" t="s">
        <v>134</v>
      </c>
      <c r="C45" s="100" t="s">
        <v>107</v>
      </c>
      <c r="D45" s="192" t="s">
        <v>108</v>
      </c>
      <c r="E45" s="192" t="s">
        <v>33</v>
      </c>
      <c r="F45" s="217"/>
      <c r="G45" s="220" t="s">
        <v>194</v>
      </c>
      <c r="H45" s="228" t="s">
        <v>197</v>
      </c>
      <c r="I45" s="229" t="s">
        <v>195</v>
      </c>
    </row>
    <row r="46" spans="1:9" ht="15.75" x14ac:dyDescent="0.2">
      <c r="B46" s="99" t="s">
        <v>109</v>
      </c>
      <c r="C46" s="701" t="s">
        <v>190</v>
      </c>
      <c r="D46" s="701"/>
      <c r="E46" s="701"/>
      <c r="F46" s="221"/>
      <c r="G46" s="57"/>
      <c r="H46" s="57"/>
      <c r="I46" s="116"/>
    </row>
    <row r="47" spans="1:9" ht="78.75" x14ac:dyDescent="0.2">
      <c r="B47" s="16" t="s">
        <v>199</v>
      </c>
      <c r="C47" s="190">
        <f>D9</f>
        <v>3206</v>
      </c>
      <c r="D47" s="191" t="e">
        <f>C47+D35</f>
        <v>#REF!</v>
      </c>
      <c r="E47" s="191" t="e">
        <f>D47*D6</f>
        <v>#REF!</v>
      </c>
      <c r="F47" s="222"/>
      <c r="G47" s="223" t="e">
        <f>D47*$P$2</f>
        <v>#REF!</v>
      </c>
      <c r="H47" s="224" t="e">
        <f>G47*D6</f>
        <v>#REF!</v>
      </c>
      <c r="I47" s="116"/>
    </row>
    <row r="48" spans="1:9" ht="63" x14ac:dyDescent="0.2">
      <c r="B48" s="16" t="s">
        <v>200</v>
      </c>
      <c r="C48" s="192">
        <f>C47</f>
        <v>3206</v>
      </c>
      <c r="D48" s="191" t="e">
        <f>C48+D36</f>
        <v>#REF!</v>
      </c>
      <c r="E48" s="191" t="e">
        <f>D48*D7</f>
        <v>#REF!</v>
      </c>
      <c r="F48" s="222"/>
      <c r="G48" s="223" t="e">
        <f t="shared" ref="G48:G62" si="23">D48*$P$2</f>
        <v>#REF!</v>
      </c>
      <c r="H48" s="224" t="e">
        <f t="shared" ref="H48:H49" si="24">G48*D7</f>
        <v>#REF!</v>
      </c>
      <c r="I48" s="116"/>
    </row>
    <row r="49" spans="2:10" ht="47.25" x14ac:dyDescent="0.2">
      <c r="B49" s="16" t="s">
        <v>202</v>
      </c>
      <c r="C49" s="192">
        <f>C48</f>
        <v>3206</v>
      </c>
      <c r="D49" s="191" t="e">
        <f>C49+D37</f>
        <v>#REF!</v>
      </c>
      <c r="E49" s="191" t="e">
        <f>D49*D8</f>
        <v>#REF!</v>
      </c>
      <c r="F49" s="222"/>
      <c r="G49" s="223" t="e">
        <f t="shared" si="23"/>
        <v>#REF!</v>
      </c>
      <c r="H49" s="224" t="e">
        <f t="shared" si="24"/>
        <v>#REF!</v>
      </c>
      <c r="I49" s="116"/>
    </row>
    <row r="50" spans="2:10" x14ac:dyDescent="0.2">
      <c r="B50" s="57" t="s">
        <v>106</v>
      </c>
      <c r="C50" s="192"/>
      <c r="D50" s="57"/>
      <c r="E50" s="191" t="e">
        <f>E47+E48+E49</f>
        <v>#REF!</v>
      </c>
      <c r="F50" s="222"/>
      <c r="G50" s="223"/>
      <c r="H50" s="225" t="e">
        <f>H47+H48+H49</f>
        <v>#REF!</v>
      </c>
      <c r="I50" s="115">
        <f>'прил к эксп 3'!N19</f>
        <v>1205249.2682999996</v>
      </c>
    </row>
    <row r="51" spans="2:10" ht="15.75" x14ac:dyDescent="0.2">
      <c r="B51" s="99" t="s">
        <v>109</v>
      </c>
      <c r="C51" s="699" t="s">
        <v>191</v>
      </c>
      <c r="D51" s="699"/>
      <c r="E51" s="699"/>
      <c r="F51" s="226"/>
      <c r="G51" s="223"/>
      <c r="H51" s="116"/>
      <c r="I51" s="116"/>
    </row>
    <row r="52" spans="2:10" ht="78.75" x14ac:dyDescent="0.2">
      <c r="B52" s="16" t="s">
        <v>199</v>
      </c>
      <c r="C52" s="115">
        <f>'прил к эксп 3'!P11</f>
        <v>3331</v>
      </c>
      <c r="D52" s="115" t="e">
        <f>C52+E35</f>
        <v>#REF!</v>
      </c>
      <c r="E52" s="116" t="e">
        <f>D52*G6</f>
        <v>#REF!</v>
      </c>
      <c r="F52" s="227"/>
      <c r="G52" s="223" t="e">
        <f t="shared" si="23"/>
        <v>#REF!</v>
      </c>
      <c r="H52" s="116" t="e">
        <f>G52*E6</f>
        <v>#REF!</v>
      </c>
      <c r="I52" s="116"/>
    </row>
    <row r="53" spans="2:10" ht="63" x14ac:dyDescent="0.2">
      <c r="B53" s="16" t="s">
        <v>200</v>
      </c>
      <c r="C53" s="115">
        <f>C52</f>
        <v>3331</v>
      </c>
      <c r="D53" s="115" t="e">
        <f>C53+E36</f>
        <v>#REF!</v>
      </c>
      <c r="E53" s="116" t="e">
        <f>D53*G7</f>
        <v>#REF!</v>
      </c>
      <c r="F53" s="227"/>
      <c r="G53" s="223" t="e">
        <f t="shared" si="23"/>
        <v>#REF!</v>
      </c>
      <c r="H53" s="116" t="e">
        <f t="shared" ref="H53:H54" si="25">G53*E7</f>
        <v>#REF!</v>
      </c>
      <c r="I53" s="116"/>
    </row>
    <row r="54" spans="2:10" ht="47.25" x14ac:dyDescent="0.2">
      <c r="B54" s="16" t="s">
        <v>202</v>
      </c>
      <c r="C54" s="115">
        <f>C53</f>
        <v>3331</v>
      </c>
      <c r="D54" s="115" t="e">
        <f>C54+E37</f>
        <v>#REF!</v>
      </c>
      <c r="E54" s="116" t="e">
        <f>D54*G8</f>
        <v>#REF!</v>
      </c>
      <c r="F54" s="227"/>
      <c r="G54" s="223" t="e">
        <f t="shared" si="23"/>
        <v>#REF!</v>
      </c>
      <c r="H54" s="116" t="e">
        <f t="shared" si="25"/>
        <v>#REF!</v>
      </c>
      <c r="I54" s="116"/>
    </row>
    <row r="55" spans="2:10" x14ac:dyDescent="0.2">
      <c r="B55" s="57" t="s">
        <v>106</v>
      </c>
      <c r="C55" s="116"/>
      <c r="D55" s="116"/>
      <c r="E55" s="116" t="e">
        <f>E52+E53+E54</f>
        <v>#REF!</v>
      </c>
      <c r="F55" s="219"/>
      <c r="G55" s="223"/>
      <c r="H55" s="116" t="e">
        <f>H52+H53+H54</f>
        <v>#REF!</v>
      </c>
      <c r="I55" s="115">
        <f>'прил к эксп 3'!P19</f>
        <v>900650.26329999976</v>
      </c>
    </row>
    <row r="56" spans="2:10" x14ac:dyDescent="0.2">
      <c r="B56" s="57" t="s">
        <v>198</v>
      </c>
      <c r="C56" s="232">
        <f>C52/C47*100</f>
        <v>103.89893948845913</v>
      </c>
      <c r="D56" s="116"/>
      <c r="E56" s="116"/>
      <c r="F56" s="219"/>
      <c r="G56" s="233" t="e">
        <f>G52/G47*100</f>
        <v>#REF!</v>
      </c>
      <c r="H56" s="116"/>
      <c r="I56" s="115"/>
    </row>
    <row r="57" spans="2:10" x14ac:dyDescent="0.2">
      <c r="B57" s="57"/>
      <c r="C57" s="232">
        <f t="shared" ref="C57:C58" si="26">C53/C48*100</f>
        <v>103.89893948845913</v>
      </c>
      <c r="D57" s="116"/>
      <c r="E57" s="116"/>
      <c r="F57" s="219"/>
      <c r="G57" s="233" t="e">
        <f t="shared" ref="G57:G58" si="27">G53/G48*100</f>
        <v>#REF!</v>
      </c>
      <c r="H57" s="116"/>
      <c r="I57" s="115"/>
    </row>
    <row r="58" spans="2:10" x14ac:dyDescent="0.2">
      <c r="B58" s="57"/>
      <c r="C58" s="232">
        <f t="shared" si="26"/>
        <v>103.89893948845913</v>
      </c>
      <c r="D58" s="116"/>
      <c r="E58" s="116"/>
      <c r="F58" s="219"/>
      <c r="G58" s="233" t="e">
        <f t="shared" si="27"/>
        <v>#REF!</v>
      </c>
      <c r="H58" s="116"/>
      <c r="I58" s="115"/>
    </row>
    <row r="59" spans="2:10" ht="15.75" x14ac:dyDescent="0.2">
      <c r="B59" s="99" t="s">
        <v>109</v>
      </c>
      <c r="C59" s="699" t="s">
        <v>192</v>
      </c>
      <c r="D59" s="699"/>
      <c r="E59" s="699"/>
      <c r="F59" s="210"/>
      <c r="G59" s="223"/>
      <c r="H59" s="116"/>
      <c r="I59" s="116"/>
    </row>
    <row r="60" spans="2:10" ht="78.75" x14ac:dyDescent="0.2">
      <c r="B60" s="16" t="s">
        <v>199</v>
      </c>
      <c r="C60" s="194">
        <f>'прил к эксп 3'!R11</f>
        <v>3258.2590361445782</v>
      </c>
      <c r="D60" s="194" t="e">
        <f>C60+G35</f>
        <v>#REF!</v>
      </c>
      <c r="E60" s="174" t="e">
        <f>D60*G6</f>
        <v>#REF!</v>
      </c>
      <c r="F60" s="174"/>
      <c r="G60" s="223" t="e">
        <f t="shared" si="23"/>
        <v>#REF!</v>
      </c>
      <c r="H60" s="116" t="e">
        <f>G60*G6</f>
        <v>#REF!</v>
      </c>
      <c r="I60" s="116"/>
    </row>
    <row r="61" spans="2:10" ht="63" x14ac:dyDescent="0.2">
      <c r="B61" s="16" t="s">
        <v>200</v>
      </c>
      <c r="C61" s="194">
        <f>C60</f>
        <v>3258.2590361445782</v>
      </c>
      <c r="D61" s="194" t="e">
        <f>C61+G36</f>
        <v>#REF!</v>
      </c>
      <c r="E61" s="174" t="e">
        <f>D61*G7</f>
        <v>#REF!</v>
      </c>
      <c r="F61" s="174"/>
      <c r="G61" s="223" t="e">
        <f t="shared" si="23"/>
        <v>#REF!</v>
      </c>
      <c r="H61" s="116" t="e">
        <f>G61*G7</f>
        <v>#REF!</v>
      </c>
      <c r="I61" s="116"/>
    </row>
    <row r="62" spans="2:10" ht="47.25" x14ac:dyDescent="0.2">
      <c r="B62" s="16" t="s">
        <v>202</v>
      </c>
      <c r="C62" s="194">
        <f>C61</f>
        <v>3258.2590361445782</v>
      </c>
      <c r="D62" s="194" t="e">
        <f>C62+G37</f>
        <v>#REF!</v>
      </c>
      <c r="E62" s="174" t="e">
        <f>D62*G8</f>
        <v>#REF!</v>
      </c>
      <c r="F62" s="174"/>
      <c r="G62" s="223" t="e">
        <f t="shared" si="23"/>
        <v>#REF!</v>
      </c>
      <c r="H62" s="116" t="e">
        <f>G62*G8</f>
        <v>#REF!</v>
      </c>
      <c r="I62" s="116"/>
    </row>
    <row r="63" spans="2:10" x14ac:dyDescent="0.2">
      <c r="B63" s="57" t="s">
        <v>106</v>
      </c>
      <c r="C63" s="174"/>
      <c r="D63" s="174"/>
      <c r="E63" s="174" t="e">
        <f>E60+E61+E62</f>
        <v>#REF!</v>
      </c>
      <c r="F63" s="174"/>
      <c r="G63" s="197" t="e">
        <f>G60/'прил к эксп 3'!M27*100</f>
        <v>#REF!</v>
      </c>
      <c r="H63" s="116" t="e">
        <f>H60+H61+H62</f>
        <v>#REF!</v>
      </c>
      <c r="I63" s="115">
        <f>'прил к эксп 3'!R19</f>
        <v>2105899.5316000003</v>
      </c>
      <c r="J63" t="e">
        <f>E63*1.18</f>
        <v>#REF!</v>
      </c>
    </row>
    <row r="64" spans="2:10" x14ac:dyDescent="0.2">
      <c r="B64" s="57" t="s">
        <v>198</v>
      </c>
      <c r="C64" s="174"/>
      <c r="D64" s="174"/>
      <c r="E64" s="174"/>
      <c r="F64" s="174"/>
      <c r="G64" s="197" t="e">
        <f>G61/'прил к эксп 3'!M28*100</f>
        <v>#REF!</v>
      </c>
      <c r="H64" s="116"/>
      <c r="I64" s="115"/>
    </row>
    <row r="65" spans="2:10" x14ac:dyDescent="0.2">
      <c r="B65" s="57"/>
      <c r="C65" s="174"/>
      <c r="D65" s="174"/>
      <c r="E65" s="174"/>
      <c r="F65" s="174"/>
      <c r="G65" s="197" t="e">
        <f>G62/'прил к эксп 3'!M26*100</f>
        <v>#REF!</v>
      </c>
      <c r="H65" s="116"/>
      <c r="I65" s="115"/>
    </row>
    <row r="66" spans="2:10" x14ac:dyDescent="0.2">
      <c r="B66" s="57"/>
      <c r="C66" s="174"/>
      <c r="D66" s="174"/>
      <c r="E66" s="174"/>
      <c r="F66" s="174"/>
      <c r="G66" s="116"/>
      <c r="H66" s="116"/>
      <c r="I66" s="115"/>
    </row>
    <row r="67" spans="2:10" x14ac:dyDescent="0.2">
      <c r="C67" s="176"/>
      <c r="D67" s="176"/>
      <c r="E67" s="195" t="e">
        <f>E50+E55</f>
        <v>#REF!</v>
      </c>
      <c r="F67" s="195"/>
      <c r="G67" s="196" t="s">
        <v>193</v>
      </c>
      <c r="J67" s="230" t="e">
        <f>H55+H50</f>
        <v>#REF!</v>
      </c>
    </row>
  </sheetData>
  <mergeCells count="6">
    <mergeCell ref="E1:G1"/>
    <mergeCell ref="D3:G3"/>
    <mergeCell ref="C46:E46"/>
    <mergeCell ref="C51:E51"/>
    <mergeCell ref="C59:E59"/>
    <mergeCell ref="A2:G2"/>
  </mergeCells>
  <printOptions horizontalCentered="1"/>
  <pageMargins left="0.70866141732283472" right="0.70866141732283472" top="0.74803149606299213" bottom="0.74803149606299213" header="0" footer="0"/>
  <pageSetup paperSize="9" scale="5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2:J40"/>
  <sheetViews>
    <sheetView topLeftCell="A19" workbookViewId="0">
      <selection activeCell="D35" sqref="D35"/>
    </sheetView>
  </sheetViews>
  <sheetFormatPr defaultRowHeight="12.75" x14ac:dyDescent="0.2"/>
  <cols>
    <col min="1" max="1" width="4.5703125" style="54" customWidth="1"/>
    <col min="2" max="2" width="47" style="54" customWidth="1"/>
    <col min="3" max="3" width="9.85546875" style="109" customWidth="1"/>
    <col min="4" max="4" width="12.5703125" style="54" customWidth="1"/>
    <col min="5" max="5" width="11.28515625" style="54" customWidth="1"/>
    <col min="6" max="6" width="10" style="54" customWidth="1"/>
    <col min="7" max="7" width="7.7109375" style="54" customWidth="1"/>
    <col min="8" max="16384" width="9.140625" style="54"/>
  </cols>
  <sheetData>
    <row r="2" spans="1:10" ht="46.5" customHeight="1" x14ac:dyDescent="0.2">
      <c r="A2" s="692" t="s">
        <v>113</v>
      </c>
      <c r="B2" s="692"/>
      <c r="C2" s="692"/>
      <c r="D2" s="692"/>
      <c r="E2" s="53"/>
      <c r="F2" s="53"/>
      <c r="G2" s="53"/>
    </row>
    <row r="3" spans="1:10" ht="46.5" customHeight="1" x14ac:dyDescent="0.2">
      <c r="A3" s="52"/>
      <c r="B3" s="52"/>
      <c r="C3" s="52"/>
      <c r="D3" s="52" t="s">
        <v>178</v>
      </c>
      <c r="E3" s="53"/>
      <c r="F3" s="53"/>
      <c r="G3" s="53"/>
    </row>
    <row r="4" spans="1:10" ht="37.5" customHeight="1" x14ac:dyDescent="0.2">
      <c r="A4" s="55" t="s">
        <v>1</v>
      </c>
      <c r="B4" s="55" t="s">
        <v>49</v>
      </c>
      <c r="C4" s="55" t="s">
        <v>50</v>
      </c>
      <c r="D4" s="55" t="s">
        <v>51</v>
      </c>
      <c r="F4" s="56"/>
    </row>
    <row r="5" spans="1:10" ht="15" customHeight="1" x14ac:dyDescent="0.2">
      <c r="A5" s="57" t="s">
        <v>52</v>
      </c>
      <c r="B5" s="58" t="s">
        <v>53</v>
      </c>
      <c r="C5" s="59" t="s">
        <v>54</v>
      </c>
      <c r="D5" s="60">
        <f>'Расчет средн.'!S20</f>
        <v>510330.08159999998</v>
      </c>
      <c r="F5" s="56"/>
    </row>
    <row r="6" spans="1:10" ht="17.25" customHeight="1" x14ac:dyDescent="0.2">
      <c r="A6" s="61" t="s">
        <v>55</v>
      </c>
      <c r="B6" s="62" t="s">
        <v>56</v>
      </c>
      <c r="C6" s="63" t="s">
        <v>57</v>
      </c>
      <c r="D6" s="64">
        <f>D5</f>
        <v>510330.08159999998</v>
      </c>
      <c r="E6" s="65"/>
      <c r="F6" s="66">
        <f>4.12*1.18*320</f>
        <v>1555.712</v>
      </c>
    </row>
    <row r="7" spans="1:10" ht="17.25" customHeight="1" x14ac:dyDescent="0.2">
      <c r="A7" s="67" t="s">
        <v>58</v>
      </c>
      <c r="B7" s="68" t="s">
        <v>177</v>
      </c>
      <c r="C7" s="59" t="s">
        <v>59</v>
      </c>
      <c r="D7" s="169">
        <f>'прил к эксп 3'!R10</f>
        <v>415</v>
      </c>
      <c r="F7" s="56">
        <f>F6/1.18/357.5</f>
        <v>3.6878321678321679</v>
      </c>
    </row>
    <row r="8" spans="1:10" ht="31.5" customHeight="1" x14ac:dyDescent="0.2">
      <c r="A8" s="57" t="s">
        <v>60</v>
      </c>
      <c r="B8" s="68" t="s">
        <v>61</v>
      </c>
      <c r="C8" s="59" t="s">
        <v>62</v>
      </c>
      <c r="D8" s="69">
        <v>0</v>
      </c>
      <c r="F8" s="56"/>
    </row>
    <row r="9" spans="1:10" ht="31.5" customHeight="1" x14ac:dyDescent="0.2">
      <c r="A9" s="61" t="s">
        <v>63</v>
      </c>
      <c r="B9" s="70" t="s">
        <v>64</v>
      </c>
      <c r="C9" s="63" t="s">
        <v>65</v>
      </c>
      <c r="D9" s="71">
        <f>D7+D8</f>
        <v>415</v>
      </c>
    </row>
    <row r="10" spans="1:10" ht="34.5" customHeight="1" x14ac:dyDescent="0.2">
      <c r="A10" s="72" t="s">
        <v>66</v>
      </c>
      <c r="B10" s="68" t="s">
        <v>67</v>
      </c>
      <c r="C10" s="59" t="s">
        <v>65</v>
      </c>
      <c r="D10" s="69">
        <f>D9*D9</f>
        <v>172225</v>
      </c>
      <c r="E10" s="66"/>
      <c r="F10" s="66"/>
      <c r="G10" s="66"/>
      <c r="H10" s="66"/>
      <c r="I10" s="66"/>
    </row>
    <row r="11" spans="1:10" ht="17.25" customHeight="1" x14ac:dyDescent="0.2">
      <c r="A11" s="72" t="s">
        <v>68</v>
      </c>
      <c r="B11" s="68" t="s">
        <v>69</v>
      </c>
      <c r="C11" s="59" t="s">
        <v>65</v>
      </c>
      <c r="D11" s="69">
        <f>D9+D8</f>
        <v>415</v>
      </c>
      <c r="E11" s="66"/>
      <c r="F11" s="66"/>
      <c r="G11" s="66"/>
      <c r="H11" s="66"/>
      <c r="I11" s="66"/>
      <c r="J11" s="73"/>
    </row>
    <row r="12" spans="1:10" ht="45.75" customHeight="1" x14ac:dyDescent="0.2">
      <c r="A12" s="61" t="s">
        <v>70</v>
      </c>
      <c r="B12" s="70" t="s">
        <v>71</v>
      </c>
      <c r="C12" s="74" t="s">
        <v>72</v>
      </c>
      <c r="D12" s="170">
        <f>(D6*D11)/D10</f>
        <v>1229.7110399999999</v>
      </c>
      <c r="E12" s="76" t="s">
        <v>73</v>
      </c>
      <c r="F12" s="693" t="s">
        <v>74</v>
      </c>
      <c r="G12" s="693"/>
      <c r="H12" s="77" t="s">
        <v>75</v>
      </c>
      <c r="I12" s="66"/>
      <c r="J12" s="73"/>
    </row>
    <row r="13" spans="1:10" ht="28.5" customHeight="1" x14ac:dyDescent="0.2">
      <c r="A13" s="78" t="s">
        <v>76</v>
      </c>
      <c r="B13" s="79" t="s">
        <v>77</v>
      </c>
      <c r="C13" s="63" t="s">
        <v>65</v>
      </c>
      <c r="D13" s="80">
        <f>D14+D15+D16</f>
        <v>410</v>
      </c>
      <c r="E13" s="77">
        <f>E14+E15+E16</f>
        <v>345.40000000000003</v>
      </c>
      <c r="F13" s="81">
        <v>319.99900000000002</v>
      </c>
      <c r="G13" s="82">
        <v>100</v>
      </c>
      <c r="H13" s="77">
        <v>357.5</v>
      </c>
      <c r="I13" s="66"/>
      <c r="J13" s="73"/>
    </row>
    <row r="14" spans="1:10" ht="16.5" customHeight="1" x14ac:dyDescent="0.2">
      <c r="A14" s="83" t="s">
        <v>78</v>
      </c>
      <c r="B14" s="57" t="s">
        <v>79</v>
      </c>
      <c r="C14" s="59" t="s">
        <v>65</v>
      </c>
      <c r="D14" s="171">
        <v>100</v>
      </c>
      <c r="E14" s="77">
        <v>44.372</v>
      </c>
      <c r="F14" s="85">
        <v>58.376399999999997</v>
      </c>
      <c r="G14" s="82">
        <f>F14/F13*G13</f>
        <v>18.242682008381276</v>
      </c>
      <c r="H14" s="77">
        <f>G14*H13/100</f>
        <v>65.217588179963059</v>
      </c>
      <c r="I14" s="66"/>
      <c r="J14" s="73"/>
    </row>
    <row r="15" spans="1:10" ht="16.5" customHeight="1" x14ac:dyDescent="0.2">
      <c r="A15" s="83" t="s">
        <v>80</v>
      </c>
      <c r="B15" s="57" t="s">
        <v>81</v>
      </c>
      <c r="C15" s="59" t="s">
        <v>65</v>
      </c>
      <c r="D15" s="171">
        <v>200</v>
      </c>
      <c r="E15" s="77">
        <f>177.553+120.311</f>
        <v>297.86400000000003</v>
      </c>
      <c r="F15" s="85">
        <f>103.1248+158.2724</f>
        <v>261.3972</v>
      </c>
      <c r="G15" s="82">
        <f>F15/F13*G13</f>
        <v>81.68688027150084</v>
      </c>
      <c r="H15" s="77">
        <f>G15*H13/100</f>
        <v>292.03059697061553</v>
      </c>
      <c r="I15" s="66"/>
      <c r="J15" s="73"/>
    </row>
    <row r="16" spans="1:10" ht="16.5" customHeight="1" x14ac:dyDescent="0.2">
      <c r="A16" s="83" t="s">
        <v>82</v>
      </c>
      <c r="B16" s="57" t="s">
        <v>83</v>
      </c>
      <c r="C16" s="59" t="s">
        <v>65</v>
      </c>
      <c r="D16" s="171">
        <v>110</v>
      </c>
      <c r="E16" s="77">
        <f>2.84+0.324</f>
        <v>3.1639999999999997</v>
      </c>
      <c r="F16" s="85">
        <f>0.2087+0.0177</f>
        <v>0.22639999999999999</v>
      </c>
      <c r="G16" s="82">
        <f>F16/F13*G13</f>
        <v>7.0750221094440915E-2</v>
      </c>
      <c r="H16" s="77">
        <f>G16*H13/100</f>
        <v>0.25293204041262629</v>
      </c>
      <c r="I16" s="66"/>
      <c r="J16" s="73"/>
    </row>
    <row r="17" spans="1:10" ht="32.25" customHeight="1" x14ac:dyDescent="0.2">
      <c r="A17" s="78" t="s">
        <v>84</v>
      </c>
      <c r="B17" s="79" t="s">
        <v>85</v>
      </c>
      <c r="C17" s="63" t="s">
        <v>65</v>
      </c>
      <c r="D17" s="86">
        <f>D18+D19+D20</f>
        <v>247.2</v>
      </c>
      <c r="E17" s="77"/>
      <c r="F17" s="77"/>
      <c r="G17" s="77"/>
      <c r="H17" s="77"/>
      <c r="I17" s="66"/>
      <c r="J17" s="73"/>
    </row>
    <row r="18" spans="1:10" ht="16.5" x14ac:dyDescent="0.2">
      <c r="A18" s="83" t="s">
        <v>86</v>
      </c>
      <c r="B18" s="87" t="s">
        <v>87</v>
      </c>
      <c r="C18" s="59" t="s">
        <v>65</v>
      </c>
      <c r="D18" s="84">
        <f>D14*1.52</f>
        <v>152</v>
      </c>
      <c r="E18" s="66"/>
      <c r="F18" s="66"/>
      <c r="G18" s="66"/>
      <c r="H18" s="66"/>
      <c r="I18" s="66"/>
      <c r="J18" s="73"/>
    </row>
    <row r="19" spans="1:10" ht="16.5" x14ac:dyDescent="0.2">
      <c r="A19" s="83" t="s">
        <v>88</v>
      </c>
      <c r="B19" s="87" t="s">
        <v>89</v>
      </c>
      <c r="C19" s="59" t="s">
        <v>65</v>
      </c>
      <c r="D19" s="84">
        <f>D15*0.3</f>
        <v>60</v>
      </c>
      <c r="E19" s="66"/>
      <c r="F19" s="66"/>
      <c r="G19" s="66"/>
      <c r="H19" s="66"/>
      <c r="I19" s="66"/>
      <c r="J19" s="73"/>
    </row>
    <row r="20" spans="1:10" ht="16.5" x14ac:dyDescent="0.2">
      <c r="A20" s="83" t="s">
        <v>90</v>
      </c>
      <c r="B20" s="87" t="s">
        <v>91</v>
      </c>
      <c r="C20" s="59" t="s">
        <v>65</v>
      </c>
      <c r="D20" s="84">
        <f>D16*0.32</f>
        <v>35.200000000000003</v>
      </c>
      <c r="E20" s="73"/>
      <c r="F20" s="73"/>
      <c r="G20" s="73"/>
      <c r="H20" s="73"/>
      <c r="I20" s="73"/>
      <c r="J20" s="73"/>
    </row>
    <row r="21" spans="1:10" ht="16.5" x14ac:dyDescent="0.2">
      <c r="A21" s="78" t="s">
        <v>92</v>
      </c>
      <c r="B21" s="61" t="s">
        <v>93</v>
      </c>
      <c r="C21" s="63" t="s">
        <v>65</v>
      </c>
      <c r="D21" s="88">
        <f>D18+D19+D20</f>
        <v>247.2</v>
      </c>
      <c r="E21" s="73"/>
      <c r="F21" s="73"/>
      <c r="G21" s="73"/>
      <c r="H21" s="73"/>
      <c r="I21" s="73"/>
      <c r="J21" s="73"/>
    </row>
    <row r="22" spans="1:10" ht="16.5" customHeight="1" x14ac:dyDescent="0.2">
      <c r="A22" s="78" t="s">
        <v>94</v>
      </c>
      <c r="B22" s="70" t="s">
        <v>95</v>
      </c>
      <c r="C22" s="74" t="s">
        <v>72</v>
      </c>
      <c r="D22" s="89">
        <f>(D12*D7)/D21</f>
        <v>2064.442077669903</v>
      </c>
    </row>
    <row r="23" spans="1:10" ht="15.75" customHeight="1" x14ac:dyDescent="0.2">
      <c r="A23" s="78" t="s">
        <v>96</v>
      </c>
      <c r="B23" s="694" t="s">
        <v>97</v>
      </c>
      <c r="C23" s="695"/>
      <c r="D23" s="696"/>
    </row>
    <row r="24" spans="1:10" ht="16.5" x14ac:dyDescent="0.2">
      <c r="A24" s="83" t="s">
        <v>98</v>
      </c>
      <c r="B24" s="83" t="s">
        <v>99</v>
      </c>
      <c r="C24" s="90" t="s">
        <v>72</v>
      </c>
      <c r="D24" s="75">
        <f>D22*1.52</f>
        <v>3137.9519580582528</v>
      </c>
    </row>
    <row r="25" spans="1:10" ht="16.5" x14ac:dyDescent="0.2">
      <c r="A25" s="83" t="s">
        <v>100</v>
      </c>
      <c r="B25" s="83" t="s">
        <v>81</v>
      </c>
      <c r="C25" s="90" t="s">
        <v>72</v>
      </c>
      <c r="D25" s="75">
        <f>D22*0.3</f>
        <v>619.33262330097091</v>
      </c>
    </row>
    <row r="26" spans="1:10" ht="16.5" x14ac:dyDescent="0.2">
      <c r="A26" s="83" t="s">
        <v>101</v>
      </c>
      <c r="B26" s="83" t="s">
        <v>83</v>
      </c>
      <c r="C26" s="90" t="s">
        <v>72</v>
      </c>
      <c r="D26" s="75">
        <f>D22*0.32</f>
        <v>660.62146485436904</v>
      </c>
    </row>
    <row r="27" spans="1:10" ht="7.5" customHeight="1" x14ac:dyDescent="0.2">
      <c r="A27" s="91"/>
      <c r="B27" s="91"/>
      <c r="C27" s="92"/>
      <c r="D27" s="93"/>
    </row>
    <row r="28" spans="1:10" ht="14.25" customHeight="1" x14ac:dyDescent="0.2">
      <c r="A28" s="94"/>
      <c r="B28" s="95" t="s">
        <v>102</v>
      </c>
      <c r="C28" s="96"/>
      <c r="D28" s="94"/>
    </row>
    <row r="29" spans="1:10" ht="15.75" x14ac:dyDescent="0.2">
      <c r="A29" s="94"/>
      <c r="B29" s="83" t="s">
        <v>103</v>
      </c>
      <c r="C29" s="90" t="s">
        <v>57</v>
      </c>
      <c r="D29" s="97">
        <f>D24*D14</f>
        <v>313795.19580582529</v>
      </c>
    </row>
    <row r="30" spans="1:10" ht="15.75" x14ac:dyDescent="0.2">
      <c r="A30" s="94"/>
      <c r="B30" s="83" t="s">
        <v>104</v>
      </c>
      <c r="C30" s="90" t="s">
        <v>57</v>
      </c>
      <c r="D30" s="97">
        <f>D25*D15</f>
        <v>123866.52466019418</v>
      </c>
    </row>
    <row r="31" spans="1:10" ht="15.75" x14ac:dyDescent="0.2">
      <c r="A31" s="98"/>
      <c r="B31" s="99" t="s">
        <v>105</v>
      </c>
      <c r="C31" s="100" t="s">
        <v>57</v>
      </c>
      <c r="D31" s="101">
        <f>D16*D26</f>
        <v>72668.361133980594</v>
      </c>
    </row>
    <row r="32" spans="1:10" ht="15.75" x14ac:dyDescent="0.2">
      <c r="A32" s="98"/>
      <c r="B32" s="102" t="s">
        <v>106</v>
      </c>
      <c r="C32" s="100" t="s">
        <v>57</v>
      </c>
      <c r="D32" s="103">
        <f>D29+D30+D31</f>
        <v>510330.08160000003</v>
      </c>
    </row>
    <row r="33" spans="1:5" ht="15.75" x14ac:dyDescent="0.2">
      <c r="A33" s="94"/>
      <c r="B33" s="104"/>
      <c r="C33" s="105" t="s">
        <v>107</v>
      </c>
      <c r="D33" s="94" t="s">
        <v>108</v>
      </c>
      <c r="E33" s="54" t="s">
        <v>33</v>
      </c>
    </row>
    <row r="34" spans="1:5" ht="12" customHeight="1" x14ac:dyDescent="0.2">
      <c r="A34" s="94"/>
      <c r="B34" s="104" t="s">
        <v>109</v>
      </c>
      <c r="C34" s="105"/>
      <c r="D34" s="94"/>
    </row>
    <row r="35" spans="1:5" ht="15.75" x14ac:dyDescent="0.2">
      <c r="A35" s="94"/>
      <c r="B35" s="104" t="s">
        <v>110</v>
      </c>
      <c r="C35" s="172">
        <f>'Расчет средн.'!C26</f>
        <v>3258.2590361445782</v>
      </c>
      <c r="D35" s="106">
        <f>C35+D24</f>
        <v>6396.210994202831</v>
      </c>
      <c r="E35" s="107">
        <f>D35*D14</f>
        <v>639621.09942028311</v>
      </c>
    </row>
    <row r="36" spans="1:5" ht="15.75" x14ac:dyDescent="0.2">
      <c r="B36" s="104" t="s">
        <v>81</v>
      </c>
      <c r="C36" s="96">
        <f>C35</f>
        <v>3258.2590361445782</v>
      </c>
      <c r="D36" s="108">
        <f>C36+D25</f>
        <v>3877.5916594455493</v>
      </c>
      <c r="E36" s="107">
        <f>D36*D15</f>
        <v>775518.33188910992</v>
      </c>
    </row>
    <row r="37" spans="1:5" ht="15.75" x14ac:dyDescent="0.2">
      <c r="B37" s="104" t="s">
        <v>111</v>
      </c>
      <c r="C37" s="96">
        <f>C36</f>
        <v>3258.2590361445782</v>
      </c>
      <c r="D37" s="108">
        <f>C37+D26</f>
        <v>3918.8805009989474</v>
      </c>
      <c r="E37" s="107">
        <f>D37*D16</f>
        <v>431076.85510988423</v>
      </c>
    </row>
    <row r="38" spans="1:5" x14ac:dyDescent="0.2">
      <c r="E38" s="110">
        <f>E35+E36+E37</f>
        <v>1846216.2864192773</v>
      </c>
    </row>
    <row r="39" spans="1:5" ht="8.25" customHeight="1" x14ac:dyDescent="0.2">
      <c r="E39" s="110"/>
    </row>
    <row r="40" spans="1:5" ht="47.25" customHeight="1" x14ac:dyDescent="0.2">
      <c r="A40" s="697" t="s">
        <v>41</v>
      </c>
      <c r="B40" s="697"/>
      <c r="C40" s="111"/>
      <c r="D40" s="698" t="s">
        <v>112</v>
      </c>
      <c r="E40" s="698"/>
    </row>
  </sheetData>
  <mergeCells count="5">
    <mergeCell ref="A2:D2"/>
    <mergeCell ref="F12:G12"/>
    <mergeCell ref="B23:D23"/>
    <mergeCell ref="A40:B40"/>
    <mergeCell ref="D40:E40"/>
  </mergeCells>
  <pageMargins left="0.75" right="0.16" top="0.4" bottom="0.3" header="0.27" footer="0.18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O61"/>
  <sheetViews>
    <sheetView topLeftCell="A28" workbookViewId="0">
      <selection activeCell="I14" sqref="I14"/>
    </sheetView>
  </sheetViews>
  <sheetFormatPr defaultRowHeight="12.75" x14ac:dyDescent="0.2"/>
  <cols>
    <col min="1" max="1" width="5.7109375" customWidth="1"/>
    <col min="2" max="2" width="60" customWidth="1"/>
    <col min="3" max="3" width="14.42578125" customWidth="1"/>
    <col min="4" max="6" width="16.5703125" customWidth="1"/>
    <col min="7" max="7" width="16.140625" customWidth="1"/>
  </cols>
  <sheetData>
    <row r="1" spans="1:15" x14ac:dyDescent="0.2">
      <c r="O1" s="112" t="s">
        <v>115</v>
      </c>
    </row>
    <row r="2" spans="1:15" ht="51.75" customHeight="1" x14ac:dyDescent="0.2">
      <c r="A2" s="692" t="s">
        <v>113</v>
      </c>
      <c r="B2" s="692"/>
      <c r="C2" s="692"/>
      <c r="D2" s="692"/>
      <c r="E2" s="692"/>
      <c r="F2" s="692"/>
      <c r="G2" s="692"/>
      <c r="O2" s="113">
        <v>1.18</v>
      </c>
    </row>
    <row r="3" spans="1:15" ht="51.75" customHeight="1" x14ac:dyDescent="0.2">
      <c r="A3" s="52"/>
      <c r="B3" s="52"/>
      <c r="C3" s="52"/>
      <c r="D3" s="700" t="s">
        <v>188</v>
      </c>
      <c r="E3" s="700"/>
      <c r="F3" s="700"/>
      <c r="G3" s="122"/>
      <c r="O3" s="123"/>
    </row>
    <row r="4" spans="1:15" ht="35.25" customHeight="1" x14ac:dyDescent="0.2">
      <c r="A4" s="55" t="s">
        <v>1</v>
      </c>
      <c r="B4" s="55" t="s">
        <v>49</v>
      </c>
      <c r="C4" s="55" t="s">
        <v>50</v>
      </c>
      <c r="D4" s="55" t="s">
        <v>164</v>
      </c>
      <c r="E4" s="55" t="s">
        <v>165</v>
      </c>
      <c r="F4" s="55" t="s">
        <v>189</v>
      </c>
      <c r="G4" s="184" t="s">
        <v>187</v>
      </c>
      <c r="O4" s="123"/>
    </row>
    <row r="5" spans="1:15" ht="15.75" x14ac:dyDescent="0.2">
      <c r="A5" s="11">
        <v>1</v>
      </c>
      <c r="B5" s="16" t="s">
        <v>14</v>
      </c>
      <c r="C5" s="16"/>
      <c r="D5" s="115">
        <f>'прил к эксп 3'!N10</f>
        <v>241.5</v>
      </c>
      <c r="E5" s="115">
        <f>'прил к эксп 3'!P10</f>
        <v>173.5</v>
      </c>
      <c r="F5" s="115">
        <f>'прил к эксп 3'!R10</f>
        <v>415</v>
      </c>
    </row>
    <row r="6" spans="1:15" ht="15.75" x14ac:dyDescent="0.2">
      <c r="A6" s="11"/>
      <c r="B6" s="16">
        <v>1</v>
      </c>
      <c r="C6" s="16"/>
      <c r="D6" s="114">
        <f>D5/6*1</f>
        <v>40.25</v>
      </c>
      <c r="E6" s="114">
        <f t="shared" ref="E6:F6" si="0">E5/6*1</f>
        <v>28.916666666666668</v>
      </c>
      <c r="F6" s="114">
        <f t="shared" si="0"/>
        <v>69.166666666666671</v>
      </c>
      <c r="G6" s="175"/>
    </row>
    <row r="7" spans="1:15" ht="15.75" x14ac:dyDescent="0.2">
      <c r="A7" s="11"/>
      <c r="B7" s="16">
        <v>2</v>
      </c>
      <c r="C7" s="16"/>
      <c r="D7" s="114">
        <f>D5/6*2</f>
        <v>80.5</v>
      </c>
      <c r="E7" s="114">
        <f t="shared" ref="E7:F7" si="1">E5/6*2</f>
        <v>57.833333333333336</v>
      </c>
      <c r="F7" s="114">
        <f t="shared" si="1"/>
        <v>138.33333333333334</v>
      </c>
    </row>
    <row r="8" spans="1:15" ht="15.75" x14ac:dyDescent="0.2">
      <c r="A8" s="11"/>
      <c r="B8" s="16">
        <v>3</v>
      </c>
      <c r="C8" s="16"/>
      <c r="D8" s="114">
        <f>D5/6*3</f>
        <v>120.75</v>
      </c>
      <c r="E8" s="114">
        <f t="shared" ref="E8:F8" si="2">E5/6*3</f>
        <v>86.75</v>
      </c>
      <c r="F8" s="114">
        <f t="shared" si="2"/>
        <v>207.5</v>
      </c>
    </row>
    <row r="9" spans="1:15" ht="15.75" x14ac:dyDescent="0.2">
      <c r="A9" s="11">
        <v>2</v>
      </c>
      <c r="B9" s="24" t="s">
        <v>15</v>
      </c>
      <c r="C9" s="24"/>
      <c r="D9" s="115">
        <f>'прил к эксп 3'!N11</f>
        <v>3206</v>
      </c>
      <c r="E9" s="115">
        <f>'прил к эксп 3'!P11</f>
        <v>3331</v>
      </c>
      <c r="F9" s="115">
        <f>'прил к эксп 3'!R11</f>
        <v>3258.2590361445782</v>
      </c>
    </row>
    <row r="10" spans="1:15" ht="15.75" x14ac:dyDescent="0.2">
      <c r="A10" s="11">
        <v>3</v>
      </c>
      <c r="B10" s="24" t="s">
        <v>16</v>
      </c>
      <c r="C10" s="24"/>
      <c r="D10" s="115">
        <f>'прил к эксп 3'!N12</f>
        <v>817.28</v>
      </c>
      <c r="E10" s="115">
        <f>'прил к эксп 3'!P12</f>
        <v>854.06</v>
      </c>
      <c r="F10" s="115">
        <f>'прил к эксп 3'!R12</f>
        <v>832.65669879518077</v>
      </c>
    </row>
    <row r="11" spans="1:15" ht="15.75" x14ac:dyDescent="0.2">
      <c r="A11" s="11">
        <v>4</v>
      </c>
      <c r="B11" s="24" t="s">
        <v>17</v>
      </c>
      <c r="C11" s="24"/>
      <c r="D11" s="115">
        <f>'прил к эксп 3'!N13</f>
        <v>206.11</v>
      </c>
      <c r="E11" s="115">
        <f>'прил к эксп 3'!P13</f>
        <v>214.15</v>
      </c>
      <c r="F11" s="115">
        <f>'прил к эксп 3'!R13</f>
        <v>209.47130120481927</v>
      </c>
    </row>
    <row r="12" spans="1:15" s="187" customFormat="1" ht="15.75" x14ac:dyDescent="0.2">
      <c r="A12" s="13">
        <v>5</v>
      </c>
      <c r="B12" s="117" t="s">
        <v>114</v>
      </c>
      <c r="C12" s="117"/>
      <c r="D12" s="117">
        <f>(D11*D5+D5*D10)/D5</f>
        <v>1023.39</v>
      </c>
      <c r="E12" s="117">
        <f t="shared" ref="E12:F12" si="3">(E11*E5+E5*E10)/E5</f>
        <v>1068.21</v>
      </c>
      <c r="F12" s="117">
        <f t="shared" si="3"/>
        <v>1042.1279999999999</v>
      </c>
    </row>
    <row r="13" spans="1:15" ht="15.75" x14ac:dyDescent="0.2">
      <c r="A13" s="11">
        <v>6</v>
      </c>
      <c r="B13" s="112" t="s">
        <v>116</v>
      </c>
      <c r="C13" s="112"/>
      <c r="D13" s="115">
        <f>(D9+D12)</f>
        <v>4229.3900000000003</v>
      </c>
      <c r="E13" s="115">
        <f t="shared" ref="E13:F13" si="4">(E9+E12)</f>
        <v>4399.21</v>
      </c>
      <c r="F13" s="115">
        <f t="shared" si="4"/>
        <v>4300.3870361445779</v>
      </c>
    </row>
    <row r="14" spans="1:15" s="187" customFormat="1" ht="15.75" x14ac:dyDescent="0.2">
      <c r="A14" s="13">
        <v>7</v>
      </c>
      <c r="B14" s="117" t="s">
        <v>117</v>
      </c>
      <c r="C14" s="117"/>
      <c r="D14" s="117">
        <f>D13*$O$2</f>
        <v>4990.6801999999998</v>
      </c>
      <c r="E14" s="117">
        <f t="shared" ref="E14:F14" si="5">E13*$O$2</f>
        <v>5191.0677999999998</v>
      </c>
      <c r="F14" s="117">
        <f t="shared" si="5"/>
        <v>5074.456702650602</v>
      </c>
    </row>
    <row r="15" spans="1:15" s="187" customFormat="1" ht="15.75" x14ac:dyDescent="0.2">
      <c r="A15" s="205">
        <v>8</v>
      </c>
      <c r="B15" s="173" t="s">
        <v>118</v>
      </c>
      <c r="C15" s="173"/>
      <c r="D15" s="173">
        <f>D12*D5/(D6*D17+D7*D18+D8*D19)</f>
        <v>1023.39</v>
      </c>
      <c r="E15" s="173">
        <f t="shared" ref="E15:F15" si="6">E12*E5/(E6*E17+E7*E18+E8*E19)</f>
        <v>337.32947368421048</v>
      </c>
      <c r="F15" s="173">
        <f t="shared" si="6"/>
        <v>546.8125002634074</v>
      </c>
    </row>
    <row r="16" spans="1:15" x14ac:dyDescent="0.2">
      <c r="A16" s="178"/>
      <c r="B16" s="183" t="s">
        <v>119</v>
      </c>
      <c r="C16" s="183"/>
      <c r="D16" s="178"/>
      <c r="E16" s="178"/>
      <c r="F16" s="178"/>
    </row>
    <row r="17" spans="1:11" x14ac:dyDescent="0.2">
      <c r="A17" s="178"/>
      <c r="B17" s="179">
        <v>1</v>
      </c>
      <c r="C17" s="179"/>
      <c r="D17" s="180">
        <v>1</v>
      </c>
      <c r="E17" s="215">
        <v>6</v>
      </c>
      <c r="F17" s="180">
        <f>(D17*D6+E17*E6)/F6</f>
        <v>3.0903614457831323</v>
      </c>
    </row>
    <row r="18" spans="1:11" x14ac:dyDescent="0.2">
      <c r="A18" s="178"/>
      <c r="B18" s="179">
        <v>2</v>
      </c>
      <c r="C18" s="179"/>
      <c r="D18" s="180">
        <v>1</v>
      </c>
      <c r="E18" s="215">
        <v>3.5</v>
      </c>
      <c r="F18" s="180">
        <f>(D18*D7+E18*E7)/F7</f>
        <v>2.0451807228915664</v>
      </c>
    </row>
    <row r="19" spans="1:11" x14ac:dyDescent="0.2">
      <c r="A19" s="178"/>
      <c r="B19" s="179">
        <v>3</v>
      </c>
      <c r="C19" s="179"/>
      <c r="D19" s="180">
        <v>1</v>
      </c>
      <c r="E19" s="215">
        <v>2</v>
      </c>
      <c r="F19" s="180">
        <f>(D19*D8+E19*E8)/F8</f>
        <v>1.4180722891566264</v>
      </c>
    </row>
    <row r="20" spans="1:11" s="187" customFormat="1" ht="22.5" x14ac:dyDescent="0.2">
      <c r="A20" s="203">
        <v>9</v>
      </c>
      <c r="B20" s="204" t="s">
        <v>120</v>
      </c>
      <c r="C20" s="204"/>
      <c r="D20" s="203"/>
      <c r="E20" s="203"/>
      <c r="F20" s="203"/>
    </row>
    <row r="21" spans="1:11" ht="14.25" customHeight="1" x14ac:dyDescent="0.2">
      <c r="A21" s="197"/>
      <c r="B21" s="198">
        <v>1</v>
      </c>
      <c r="C21" s="198"/>
      <c r="D21" s="197">
        <f>(D9+D15*D17)*$O$2</f>
        <v>4990.6801999999998</v>
      </c>
      <c r="E21" s="197">
        <f>($E$9+$E$15*E17)*$O$2</f>
        <v>6318.87267368421</v>
      </c>
      <c r="F21" s="197">
        <f>($F$9+$F$15*F17)*$O$2</f>
        <v>5838.7666199364512</v>
      </c>
    </row>
    <row r="22" spans="1:11" x14ac:dyDescent="0.2">
      <c r="A22" s="197"/>
      <c r="B22" s="199">
        <v>2</v>
      </c>
      <c r="C22" s="199"/>
      <c r="D22" s="197">
        <f>($D$9+$D$15*D18)*$O$2</f>
        <v>4990.6801999999998</v>
      </c>
      <c r="E22" s="197">
        <f t="shared" ref="E22:E23" si="7">($E$9+$E$15*E18)*$O$2</f>
        <v>5323.7507263157895</v>
      </c>
      <c r="F22" s="197">
        <f t="shared" ref="F22:F23" si="8">($F$9+$F$15*F18)*$O$2</f>
        <v>5164.3755164489376</v>
      </c>
    </row>
    <row r="23" spans="1:11" x14ac:dyDescent="0.2">
      <c r="A23" s="197"/>
      <c r="B23" s="199">
        <v>3</v>
      </c>
      <c r="C23" s="199"/>
      <c r="D23" s="197">
        <f>($D$9+$D$15*D19)*$O$2</f>
        <v>4990.6801999999998</v>
      </c>
      <c r="E23" s="197">
        <f t="shared" si="7"/>
        <v>4726.6775578947363</v>
      </c>
      <c r="F23" s="197">
        <f t="shared" si="8"/>
        <v>4759.7408543564288</v>
      </c>
    </row>
    <row r="24" spans="1:11" x14ac:dyDescent="0.2">
      <c r="A24" s="181"/>
      <c r="B24" s="182" t="s">
        <v>119</v>
      </c>
      <c r="C24" s="182"/>
      <c r="D24" s="181">
        <f>D25+D26+D27</f>
        <v>3</v>
      </c>
      <c r="E24" s="181">
        <f t="shared" ref="E24:F24" si="9">E25+E26+E27</f>
        <v>11.5</v>
      </c>
      <c r="F24" s="181">
        <f t="shared" si="9"/>
        <v>6.5536144578313245</v>
      </c>
      <c r="G24">
        <v>1</v>
      </c>
      <c r="H24">
        <v>1</v>
      </c>
      <c r="I24">
        <v>1</v>
      </c>
    </row>
    <row r="25" spans="1:11" x14ac:dyDescent="0.2">
      <c r="A25" s="181"/>
      <c r="B25" s="182">
        <v>1</v>
      </c>
      <c r="C25" s="182"/>
      <c r="D25" s="181">
        <f>D17</f>
        <v>1</v>
      </c>
      <c r="E25" s="181">
        <f t="shared" ref="E25:F25" si="10">E17</f>
        <v>6</v>
      </c>
      <c r="F25" s="181">
        <f t="shared" si="10"/>
        <v>3.0903614457831323</v>
      </c>
      <c r="G25">
        <f>D25*G24/D24</f>
        <v>0.33333333333333331</v>
      </c>
      <c r="H25">
        <f t="shared" ref="H25:I25" si="11">E25*H24/E24</f>
        <v>0.52173913043478259</v>
      </c>
      <c r="I25">
        <f t="shared" si="11"/>
        <v>0.47155069399761013</v>
      </c>
    </row>
    <row r="26" spans="1:11" x14ac:dyDescent="0.2">
      <c r="A26" s="181"/>
      <c r="B26" s="182">
        <v>2</v>
      </c>
      <c r="C26" s="182"/>
      <c r="D26" s="181">
        <f>D18</f>
        <v>1</v>
      </c>
      <c r="E26" s="181">
        <f t="shared" ref="E26:F26" si="12">E18</f>
        <v>3.5</v>
      </c>
      <c r="F26" s="181">
        <f t="shared" si="12"/>
        <v>2.0451807228915664</v>
      </c>
      <c r="G26">
        <f>D26*G24/D24</f>
        <v>0.33333333333333331</v>
      </c>
      <c r="H26">
        <f t="shared" ref="H26:I26" si="13">E26*H24/E24</f>
        <v>0.30434782608695654</v>
      </c>
      <c r="I26">
        <f t="shared" si="13"/>
        <v>0.31206912400036774</v>
      </c>
    </row>
    <row r="27" spans="1:11" x14ac:dyDescent="0.2">
      <c r="A27" s="181"/>
      <c r="B27" s="182">
        <v>3</v>
      </c>
      <c r="C27" s="182"/>
      <c r="D27" s="181">
        <f>D19</f>
        <v>1</v>
      </c>
      <c r="E27" s="181">
        <f t="shared" ref="E27:F27" si="14">E19</f>
        <v>2</v>
      </c>
      <c r="F27" s="181">
        <f t="shared" si="14"/>
        <v>1.4180722891566264</v>
      </c>
      <c r="G27">
        <f>D27*G24/D24</f>
        <v>0.33333333333333331</v>
      </c>
      <c r="H27">
        <f t="shared" ref="H27:I27" si="15">E27*H24/E24</f>
        <v>0.17391304347826086</v>
      </c>
      <c r="I27">
        <f t="shared" si="15"/>
        <v>0.21638018200202225</v>
      </c>
    </row>
    <row r="28" spans="1:11" x14ac:dyDescent="0.2">
      <c r="A28" s="116"/>
      <c r="B28" s="116" t="s">
        <v>85</v>
      </c>
      <c r="C28" s="116" t="s">
        <v>65</v>
      </c>
      <c r="D28" s="174">
        <f>D29+D30+D31</f>
        <v>241.5</v>
      </c>
      <c r="E28" s="174">
        <f t="shared" ref="E28:F28" si="16">E29+E30+E31</f>
        <v>549.41666666666674</v>
      </c>
      <c r="F28" s="174">
        <f t="shared" si="16"/>
        <v>790.91666666666674</v>
      </c>
      <c r="G28" s="177" t="s">
        <v>181</v>
      </c>
      <c r="H28" s="177"/>
      <c r="I28" s="177"/>
      <c r="J28" s="177"/>
      <c r="K28" s="177"/>
    </row>
    <row r="29" spans="1:11" x14ac:dyDescent="0.2">
      <c r="A29" s="116"/>
      <c r="B29" s="112" t="s">
        <v>179</v>
      </c>
      <c r="C29" s="116" t="s">
        <v>65</v>
      </c>
      <c r="D29" s="174">
        <f>D6*D25</f>
        <v>40.25</v>
      </c>
      <c r="E29" s="174">
        <f t="shared" ref="E29:F29" si="17">E6*E25</f>
        <v>173.5</v>
      </c>
      <c r="F29" s="174">
        <f t="shared" si="17"/>
        <v>213.75</v>
      </c>
    </row>
    <row r="30" spans="1:11" x14ac:dyDescent="0.2">
      <c r="A30" s="116"/>
      <c r="B30" s="112" t="s">
        <v>180</v>
      </c>
      <c r="C30" s="116" t="s">
        <v>65</v>
      </c>
      <c r="D30" s="174">
        <f t="shared" ref="D30:F31" si="18">D7*D26</f>
        <v>80.5</v>
      </c>
      <c r="E30" s="174">
        <f t="shared" si="18"/>
        <v>202.41666666666669</v>
      </c>
      <c r="F30" s="174">
        <f t="shared" si="18"/>
        <v>282.91666666666669</v>
      </c>
    </row>
    <row r="31" spans="1:11" x14ac:dyDescent="0.2">
      <c r="A31" s="116"/>
      <c r="B31" s="112" t="s">
        <v>183</v>
      </c>
      <c r="C31" s="116" t="s">
        <v>65</v>
      </c>
      <c r="D31" s="174">
        <f t="shared" si="18"/>
        <v>120.75</v>
      </c>
      <c r="E31" s="174">
        <f t="shared" si="18"/>
        <v>173.5</v>
      </c>
      <c r="F31" s="174">
        <f t="shared" si="18"/>
        <v>294.25</v>
      </c>
    </row>
    <row r="32" spans="1:11" x14ac:dyDescent="0.2">
      <c r="A32" s="116"/>
      <c r="B32" s="116" t="s">
        <v>93</v>
      </c>
      <c r="C32" s="116" t="s">
        <v>65</v>
      </c>
      <c r="D32" s="116">
        <f>D28</f>
        <v>241.5</v>
      </c>
      <c r="E32" s="116">
        <f t="shared" ref="E32:F32" si="19">E28</f>
        <v>549.41666666666674</v>
      </c>
      <c r="F32" s="116">
        <f t="shared" si="19"/>
        <v>790.91666666666674</v>
      </c>
    </row>
    <row r="33" spans="1:7" x14ac:dyDescent="0.2">
      <c r="A33" s="116"/>
      <c r="B33" s="112" t="s">
        <v>182</v>
      </c>
      <c r="C33" s="116" t="s">
        <v>72</v>
      </c>
      <c r="D33" s="116">
        <f>(D5*D12)/D32</f>
        <v>1023.39</v>
      </c>
      <c r="E33" s="116">
        <f t="shared" ref="E33:F33" si="20">(E5*E12)/E32</f>
        <v>337.32947368421048</v>
      </c>
      <c r="F33" s="116">
        <f t="shared" si="20"/>
        <v>546.8125002634074</v>
      </c>
    </row>
    <row r="34" spans="1:7" x14ac:dyDescent="0.2">
      <c r="A34" s="116"/>
      <c r="B34" s="116" t="s">
        <v>97</v>
      </c>
      <c r="C34" s="116"/>
      <c r="D34" s="116"/>
      <c r="E34" s="116"/>
      <c r="F34" s="116"/>
    </row>
    <row r="35" spans="1:7" x14ac:dyDescent="0.2">
      <c r="A35" s="116"/>
      <c r="B35" s="118">
        <v>1</v>
      </c>
      <c r="C35" s="116" t="s">
        <v>72</v>
      </c>
      <c r="D35" s="116">
        <f>$D$33*D25</f>
        <v>1023.39</v>
      </c>
      <c r="E35" s="116">
        <f>$E$33*E25</f>
        <v>2023.9768421052629</v>
      </c>
      <c r="F35" s="116">
        <f>$F$33*F25</f>
        <v>1689.848268886313</v>
      </c>
    </row>
    <row r="36" spans="1:7" x14ac:dyDescent="0.2">
      <c r="A36" s="116"/>
      <c r="B36" s="118">
        <v>2</v>
      </c>
      <c r="C36" s="116" t="s">
        <v>72</v>
      </c>
      <c r="D36" s="116">
        <f t="shared" ref="D36:D37" si="21">$D$33*D26</f>
        <v>1023.39</v>
      </c>
      <c r="E36" s="116">
        <f t="shared" ref="E36:E37" si="22">$E$33*E26</f>
        <v>1180.6531578947368</v>
      </c>
      <c r="F36" s="116">
        <f t="shared" ref="F36:F37" si="23">$F$33*F26</f>
        <v>1118.3303845748603</v>
      </c>
    </row>
    <row r="37" spans="1:7" x14ac:dyDescent="0.2">
      <c r="A37" s="116"/>
      <c r="B37" s="118">
        <v>3</v>
      </c>
      <c r="C37" s="116" t="s">
        <v>72</v>
      </c>
      <c r="D37" s="116">
        <f t="shared" si="21"/>
        <v>1023.39</v>
      </c>
      <c r="E37" s="116">
        <f t="shared" si="22"/>
        <v>674.65894736842097</v>
      </c>
      <c r="F37" s="116">
        <f t="shared" si="23"/>
        <v>775.41965398798857</v>
      </c>
    </row>
    <row r="39" spans="1:7" ht="15.75" x14ac:dyDescent="0.2">
      <c r="B39" s="95" t="s">
        <v>102</v>
      </c>
      <c r="C39" s="96"/>
      <c r="D39" s="94"/>
      <c r="E39" s="94"/>
      <c r="F39" s="94"/>
      <c r="G39" s="213" t="s">
        <v>195</v>
      </c>
    </row>
    <row r="40" spans="1:7" ht="15.75" x14ac:dyDescent="0.2">
      <c r="B40" s="83" t="s">
        <v>184</v>
      </c>
      <c r="C40" s="90" t="s">
        <v>57</v>
      </c>
      <c r="D40" s="97">
        <f>D35*D6</f>
        <v>41191.447500000002</v>
      </c>
      <c r="E40" s="97">
        <f t="shared" ref="E40:F40" si="24">E35*E6</f>
        <v>58526.663684210522</v>
      </c>
      <c r="F40" s="211">
        <f t="shared" si="24"/>
        <v>116881.17193130332</v>
      </c>
      <c r="G40" s="213"/>
    </row>
    <row r="41" spans="1:7" ht="15.75" x14ac:dyDescent="0.2">
      <c r="B41" s="83" t="s">
        <v>185</v>
      </c>
      <c r="C41" s="90" t="s">
        <v>57</v>
      </c>
      <c r="D41" s="97">
        <f t="shared" ref="D41:F42" si="25">D36*D7</f>
        <v>82382.895000000004</v>
      </c>
      <c r="E41" s="97">
        <f t="shared" si="25"/>
        <v>68281.10763157894</v>
      </c>
      <c r="F41" s="211">
        <f t="shared" si="25"/>
        <v>154702.36986618902</v>
      </c>
      <c r="G41" s="213"/>
    </row>
    <row r="42" spans="1:7" ht="15.75" x14ac:dyDescent="0.2">
      <c r="B42" s="99" t="s">
        <v>186</v>
      </c>
      <c r="C42" s="100" t="s">
        <v>57</v>
      </c>
      <c r="D42" s="97">
        <f t="shared" si="25"/>
        <v>123574.3425</v>
      </c>
      <c r="E42" s="97">
        <f t="shared" si="25"/>
        <v>58526.663684210522</v>
      </c>
      <c r="F42" s="211">
        <f t="shared" si="25"/>
        <v>160899.57820250763</v>
      </c>
      <c r="G42" s="213"/>
    </row>
    <row r="43" spans="1:7" ht="15.75" x14ac:dyDescent="0.2">
      <c r="B43" s="102" t="s">
        <v>106</v>
      </c>
      <c r="C43" s="100" t="s">
        <v>57</v>
      </c>
      <c r="D43" s="103">
        <f>D40+D41+D42</f>
        <v>247148.685</v>
      </c>
      <c r="E43" s="103">
        <f t="shared" ref="E43:F43" si="26">E40+E41+E42</f>
        <v>185334.435</v>
      </c>
      <c r="F43" s="212">
        <f t="shared" si="26"/>
        <v>432483.12</v>
      </c>
      <c r="G43" s="214">
        <f>'прил к эксп 3'!P19</f>
        <v>900650.26329999976</v>
      </c>
    </row>
    <row r="44" spans="1:7" ht="15.75" x14ac:dyDescent="0.2">
      <c r="A44" s="185"/>
      <c r="B44" s="95"/>
      <c r="C44" s="105"/>
      <c r="D44" s="186"/>
      <c r="E44" s="186"/>
      <c r="F44" s="186"/>
      <c r="G44" s="54"/>
    </row>
    <row r="45" spans="1:7" ht="15.75" x14ac:dyDescent="0.2">
      <c r="B45" s="188" t="s">
        <v>134</v>
      </c>
      <c r="C45" s="100" t="s">
        <v>107</v>
      </c>
      <c r="D45" s="192" t="s">
        <v>108</v>
      </c>
      <c r="E45" s="192" t="s">
        <v>33</v>
      </c>
      <c r="F45" s="200" t="s">
        <v>194</v>
      </c>
      <c r="G45" s="201"/>
    </row>
    <row r="46" spans="1:7" ht="15.75" x14ac:dyDescent="0.2">
      <c r="B46" s="99" t="s">
        <v>109</v>
      </c>
      <c r="C46" s="701" t="s">
        <v>190</v>
      </c>
      <c r="D46" s="701"/>
      <c r="E46" s="701"/>
      <c r="F46" s="94"/>
      <c r="G46" s="54"/>
    </row>
    <row r="47" spans="1:7" ht="15.75" x14ac:dyDescent="0.2">
      <c r="B47" s="189">
        <v>1</v>
      </c>
      <c r="C47" s="190">
        <f>D9</f>
        <v>3206</v>
      </c>
      <c r="D47" s="191">
        <f>C47+D35</f>
        <v>4229.3900000000003</v>
      </c>
      <c r="E47" s="191">
        <f>D47*D6</f>
        <v>170232.94750000001</v>
      </c>
      <c r="F47" s="202">
        <f>D47*$O$2</f>
        <v>4990.6801999999998</v>
      </c>
      <c r="G47" s="107"/>
    </row>
    <row r="48" spans="1:7" ht="15.75" x14ac:dyDescent="0.2">
      <c r="B48" s="189">
        <v>2</v>
      </c>
      <c r="C48" s="192">
        <f>C47</f>
        <v>3206</v>
      </c>
      <c r="D48" s="191">
        <f>C48+D36</f>
        <v>4229.3900000000003</v>
      </c>
      <c r="E48" s="191">
        <f>D48*D7</f>
        <v>340465.89500000002</v>
      </c>
      <c r="F48" s="202">
        <f t="shared" ref="F48:F59" si="27">D48*$O$2</f>
        <v>4990.6801999999998</v>
      </c>
      <c r="G48" s="107"/>
    </row>
    <row r="49" spans="2:7" ht="15.75" x14ac:dyDescent="0.2">
      <c r="B49" s="189">
        <v>3</v>
      </c>
      <c r="C49" s="192">
        <f>C48</f>
        <v>3206</v>
      </c>
      <c r="D49" s="191">
        <f>C49+D37</f>
        <v>4229.3900000000003</v>
      </c>
      <c r="E49" s="191">
        <f>D49*D8</f>
        <v>510698.84250000003</v>
      </c>
      <c r="F49" s="202">
        <f t="shared" si="27"/>
        <v>4990.6801999999998</v>
      </c>
      <c r="G49" s="107"/>
    </row>
    <row r="50" spans="2:7" x14ac:dyDescent="0.2">
      <c r="B50" s="57" t="s">
        <v>106</v>
      </c>
      <c r="C50" s="192"/>
      <c r="D50" s="57"/>
      <c r="E50" s="191">
        <f>E47+E48+E49</f>
        <v>1021397.6850000001</v>
      </c>
      <c r="F50" s="202"/>
      <c r="G50" s="110"/>
    </row>
    <row r="51" spans="2:7" ht="15.75" x14ac:dyDescent="0.2">
      <c r="B51" s="99" t="s">
        <v>109</v>
      </c>
      <c r="C51" s="699" t="s">
        <v>191</v>
      </c>
      <c r="D51" s="699"/>
      <c r="E51" s="699"/>
      <c r="F51" s="202"/>
    </row>
    <row r="52" spans="2:7" ht="15.75" x14ac:dyDescent="0.2">
      <c r="B52" s="189">
        <v>1</v>
      </c>
      <c r="C52" s="115">
        <f>'прил к эксп 3'!P11</f>
        <v>3331</v>
      </c>
      <c r="D52" s="115">
        <f>C52+E35</f>
        <v>5354.9768421052631</v>
      </c>
      <c r="E52" s="116">
        <f>D52*F6</f>
        <v>370385.89824561408</v>
      </c>
      <c r="F52" s="202">
        <f t="shared" si="27"/>
        <v>6318.87267368421</v>
      </c>
    </row>
    <row r="53" spans="2:7" ht="15.75" x14ac:dyDescent="0.2">
      <c r="B53" s="189">
        <v>2</v>
      </c>
      <c r="C53" s="115">
        <f>C52</f>
        <v>3331</v>
      </c>
      <c r="D53" s="115">
        <f>C53+E36</f>
        <v>4511.653157894737</v>
      </c>
      <c r="E53" s="116">
        <f>D53*F7</f>
        <v>624112.02017543861</v>
      </c>
      <c r="F53" s="202">
        <f t="shared" si="27"/>
        <v>5323.7507263157895</v>
      </c>
    </row>
    <row r="54" spans="2:7" ht="15.75" x14ac:dyDescent="0.2">
      <c r="B54" s="189">
        <v>3</v>
      </c>
      <c r="C54" s="115">
        <f>C53</f>
        <v>3331</v>
      </c>
      <c r="D54" s="115">
        <f>C54+E37</f>
        <v>4005.6589473684207</v>
      </c>
      <c r="E54" s="116">
        <f>D54*F8</f>
        <v>831174.23157894728</v>
      </c>
      <c r="F54" s="202">
        <f t="shared" si="27"/>
        <v>4726.6775578947363</v>
      </c>
    </row>
    <row r="55" spans="2:7" x14ac:dyDescent="0.2">
      <c r="B55" s="57" t="s">
        <v>106</v>
      </c>
      <c r="C55" s="116"/>
      <c r="D55" s="116"/>
      <c r="E55" s="116">
        <f>E52+E53+E54</f>
        <v>1825672.15</v>
      </c>
      <c r="F55" s="202"/>
    </row>
    <row r="56" spans="2:7" ht="15.75" x14ac:dyDescent="0.2">
      <c r="B56" s="99" t="s">
        <v>109</v>
      </c>
      <c r="C56" s="699" t="s">
        <v>192</v>
      </c>
      <c r="D56" s="699"/>
      <c r="E56" s="699"/>
      <c r="F56" s="202"/>
    </row>
    <row r="57" spans="2:7" ht="15.75" x14ac:dyDescent="0.2">
      <c r="B57" s="189">
        <v>1</v>
      </c>
      <c r="C57" s="194">
        <f>'прил к эксп 3'!R11</f>
        <v>3258.2590361445782</v>
      </c>
      <c r="D57" s="194">
        <f>C57+F35</f>
        <v>4948.1073050308914</v>
      </c>
      <c r="E57" s="174">
        <f>D57*F6</f>
        <v>342244.08859797003</v>
      </c>
      <c r="F57" s="202">
        <f t="shared" si="27"/>
        <v>5838.7666199364512</v>
      </c>
    </row>
    <row r="58" spans="2:7" ht="15.75" x14ac:dyDescent="0.2">
      <c r="B58" s="189">
        <v>2</v>
      </c>
      <c r="C58" s="194">
        <f>C57</f>
        <v>3258.2590361445782</v>
      </c>
      <c r="D58" s="194">
        <f>C58+F36</f>
        <v>4376.5894207194387</v>
      </c>
      <c r="E58" s="174">
        <f>D58*F7</f>
        <v>605428.20319952245</v>
      </c>
      <c r="F58" s="202">
        <f t="shared" si="27"/>
        <v>5164.3755164489376</v>
      </c>
    </row>
    <row r="59" spans="2:7" ht="15.75" x14ac:dyDescent="0.2">
      <c r="B59" s="189">
        <v>3</v>
      </c>
      <c r="C59" s="194">
        <f>C58</f>
        <v>3258.2590361445782</v>
      </c>
      <c r="D59" s="194">
        <f>C59+F37</f>
        <v>4033.6786901325668</v>
      </c>
      <c r="E59" s="174">
        <f>D59*F8</f>
        <v>836988.32820250758</v>
      </c>
      <c r="F59" s="202">
        <f t="shared" si="27"/>
        <v>4759.7408543564288</v>
      </c>
    </row>
    <row r="60" spans="2:7" x14ac:dyDescent="0.2">
      <c r="B60" s="57" t="s">
        <v>106</v>
      </c>
      <c r="C60" s="174"/>
      <c r="D60" s="174"/>
      <c r="E60" s="174">
        <f>E57+E58+E59</f>
        <v>1784660.62</v>
      </c>
    </row>
    <row r="61" spans="2:7" x14ac:dyDescent="0.2">
      <c r="C61" s="176"/>
      <c r="D61" s="176"/>
      <c r="E61" s="195">
        <f>E50+E55</f>
        <v>2847069.835</v>
      </c>
      <c r="F61" s="196" t="s">
        <v>193</v>
      </c>
    </row>
  </sheetData>
  <mergeCells count="5">
    <mergeCell ref="C56:E56"/>
    <mergeCell ref="A2:G2"/>
    <mergeCell ref="D3:F3"/>
    <mergeCell ref="C46:E46"/>
    <mergeCell ref="C51:E5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67"/>
  <sheetViews>
    <sheetView zoomScale="80" zoomScaleNormal="80" workbookViewId="0">
      <selection activeCell="H52" sqref="H52"/>
    </sheetView>
  </sheetViews>
  <sheetFormatPr defaultRowHeight="12.75" x14ac:dyDescent="0.2"/>
  <cols>
    <col min="1" max="1" width="5.7109375" customWidth="1"/>
    <col min="2" max="2" width="72.42578125" customWidth="1"/>
    <col min="3" max="3" width="14.42578125" customWidth="1"/>
    <col min="4" max="6" width="16.5703125" customWidth="1"/>
    <col min="7" max="7" width="20.7109375" customWidth="1"/>
    <col min="8" max="8" width="18.85546875" customWidth="1"/>
    <col min="9" max="9" width="17" customWidth="1"/>
    <col min="10" max="10" width="13" customWidth="1"/>
  </cols>
  <sheetData>
    <row r="1" spans="1:16" x14ac:dyDescent="0.2">
      <c r="P1" s="112" t="s">
        <v>115</v>
      </c>
    </row>
    <row r="2" spans="1:16" ht="51.75" customHeight="1" x14ac:dyDescent="0.2">
      <c r="A2" s="692" t="s">
        <v>113</v>
      </c>
      <c r="B2" s="692"/>
      <c r="C2" s="692"/>
      <c r="D2" s="692"/>
      <c r="E2" s="692"/>
      <c r="F2" s="692"/>
      <c r="G2" s="692"/>
      <c r="H2" s="692"/>
      <c r="I2" s="184" t="s">
        <v>187</v>
      </c>
      <c r="P2" s="113">
        <v>1.18</v>
      </c>
    </row>
    <row r="3" spans="1:16" ht="51.75" customHeight="1" x14ac:dyDescent="0.2">
      <c r="A3" s="121"/>
      <c r="B3" s="121"/>
      <c r="C3" s="121"/>
      <c r="D3" s="700" t="s">
        <v>188</v>
      </c>
      <c r="E3" s="700"/>
      <c r="F3" s="700"/>
      <c r="G3" s="700"/>
      <c r="H3" s="122"/>
      <c r="P3" s="123"/>
    </row>
    <row r="4" spans="1:16" ht="50.25" customHeight="1" x14ac:dyDescent="0.2">
      <c r="A4" s="55" t="s">
        <v>1</v>
      </c>
      <c r="B4" s="55" t="s">
        <v>49</v>
      </c>
      <c r="C4" s="55" t="s">
        <v>50</v>
      </c>
      <c r="D4" s="55" t="s">
        <v>164</v>
      </c>
      <c r="E4" s="55" t="s">
        <v>165</v>
      </c>
      <c r="F4" s="55" t="s">
        <v>196</v>
      </c>
      <c r="G4" s="55" t="s">
        <v>189</v>
      </c>
      <c r="P4" s="123"/>
    </row>
    <row r="5" spans="1:16" ht="15.75" x14ac:dyDescent="0.2">
      <c r="A5" s="119">
        <v>1</v>
      </c>
      <c r="B5" s="16" t="s">
        <v>14</v>
      </c>
      <c r="C5" s="16"/>
      <c r="D5" s="115" t="e">
        <f>#REF!</f>
        <v>#REF!</v>
      </c>
      <c r="E5" s="115">
        <f>'прил к эксп 3'!P10</f>
        <v>173.5</v>
      </c>
      <c r="F5" s="115" t="e">
        <f>E5/D5*100</f>
        <v>#REF!</v>
      </c>
      <c r="G5" s="115">
        <f>'прил к эксп 3'!R10</f>
        <v>415</v>
      </c>
      <c r="H5" t="e">
        <f>'МОЙ РАСЧЕТ (2)'!D5*100/'МОЙ РАСЧЕТ (2)'!D5</f>
        <v>#REF!</v>
      </c>
      <c r="I5">
        <f>'МОЙ РАСЧЕТ (2)'!E5*100/'МОЙ РАСЧЕТ (2)'!E5</f>
        <v>100</v>
      </c>
      <c r="J5">
        <f>G5*100/G5</f>
        <v>100</v>
      </c>
    </row>
    <row r="6" spans="1:16" ht="78.75" x14ac:dyDescent="0.2">
      <c r="A6" s="119"/>
      <c r="B6" s="16" t="s">
        <v>199</v>
      </c>
      <c r="C6" s="16"/>
      <c r="D6" s="114" t="e">
        <f>#REF!</f>
        <v>#REF!</v>
      </c>
      <c r="E6" s="114" t="e">
        <f>#REF!</f>
        <v>#REF!</v>
      </c>
      <c r="F6" s="115" t="e">
        <f t="shared" ref="F6:F37" si="0">E6/D6*100</f>
        <v>#REF!</v>
      </c>
      <c r="G6" s="114" t="e">
        <f>#REF!</f>
        <v>#REF!</v>
      </c>
      <c r="H6" s="175" t="e">
        <f>D6*100/245</f>
        <v>#REF!</v>
      </c>
      <c r="I6" s="175" t="e">
        <f>E6*100/E5</f>
        <v>#REF!</v>
      </c>
      <c r="J6" t="e">
        <f>G6*100/G5</f>
        <v>#REF!</v>
      </c>
    </row>
    <row r="7" spans="1:16" ht="63" x14ac:dyDescent="0.2">
      <c r="A7" s="119"/>
      <c r="B7" s="16" t="s">
        <v>200</v>
      </c>
      <c r="C7" s="16"/>
      <c r="D7" s="114" t="e">
        <f>#REF!+#REF!</f>
        <v>#REF!</v>
      </c>
      <c r="E7" s="114" t="e">
        <f>#REF!+#REF!</f>
        <v>#REF!</v>
      </c>
      <c r="F7" s="115" t="e">
        <f t="shared" si="0"/>
        <v>#REF!</v>
      </c>
      <c r="G7" s="114" t="e">
        <f>#REF!+#REF!</f>
        <v>#REF!</v>
      </c>
      <c r="H7" t="e">
        <f>D7*100/D5</f>
        <v>#REF!</v>
      </c>
      <c r="I7" s="243" t="e">
        <f>E7*100/E5</f>
        <v>#REF!</v>
      </c>
      <c r="J7" t="e">
        <f>G7*100/G5</f>
        <v>#REF!</v>
      </c>
    </row>
    <row r="8" spans="1:16" ht="47.25" x14ac:dyDescent="0.2">
      <c r="A8" s="119"/>
      <c r="B8" s="16" t="s">
        <v>201</v>
      </c>
      <c r="C8" s="16"/>
      <c r="D8" s="114" t="e">
        <f>#REF!+#REF!+#REF!</f>
        <v>#REF!</v>
      </c>
      <c r="E8" s="114" t="e">
        <f>#REF!+#REF!+#REF!</f>
        <v>#REF!</v>
      </c>
      <c r="F8" s="115" t="e">
        <f t="shared" si="0"/>
        <v>#REF!</v>
      </c>
      <c r="G8" s="114" t="e">
        <f>#REF!+#REF!+#REF!</f>
        <v>#REF!</v>
      </c>
      <c r="H8" t="e">
        <f>D8*100/D5</f>
        <v>#REF!</v>
      </c>
      <c r="I8" t="e">
        <f>E8*100/E5</f>
        <v>#REF!</v>
      </c>
      <c r="J8" t="e">
        <f>G8*100/G5</f>
        <v>#REF!</v>
      </c>
    </row>
    <row r="9" spans="1:16" ht="15.75" x14ac:dyDescent="0.2">
      <c r="A9" s="119">
        <v>2</v>
      </c>
      <c r="B9" s="24" t="s">
        <v>15</v>
      </c>
      <c r="C9" s="24"/>
      <c r="D9" s="115">
        <f>'прил к эксп 3'!N11</f>
        <v>3206</v>
      </c>
      <c r="E9" s="115">
        <f>'прил к эксп 3'!P11</f>
        <v>3331</v>
      </c>
      <c r="F9" s="216">
        <f t="shared" si="0"/>
        <v>103.89893948845913</v>
      </c>
      <c r="G9" s="115">
        <f>'прил к эксп 3'!R11</f>
        <v>3258.2590361445782</v>
      </c>
    </row>
    <row r="10" spans="1:16" ht="15.75" x14ac:dyDescent="0.2">
      <c r="A10" s="119">
        <v>3</v>
      </c>
      <c r="B10" s="24" t="s">
        <v>16</v>
      </c>
      <c r="C10" s="24"/>
      <c r="D10" s="115">
        <f>'прил к эксп 3'!N12</f>
        <v>817.28</v>
      </c>
      <c r="E10" s="115">
        <f>'прил к эксп 3'!P12</f>
        <v>854.06</v>
      </c>
      <c r="F10" s="216">
        <f t="shared" si="0"/>
        <v>104.50029365700861</v>
      </c>
      <c r="G10" s="115">
        <f>'прил к эксп 3'!R12</f>
        <v>832.65669879518077</v>
      </c>
    </row>
    <row r="11" spans="1:16" ht="15.75" x14ac:dyDescent="0.2">
      <c r="A11" s="119">
        <v>4</v>
      </c>
      <c r="B11" s="24" t="s">
        <v>17</v>
      </c>
      <c r="C11" s="24"/>
      <c r="D11" s="115">
        <f>'прил к эксп 3'!N13</f>
        <v>206.11</v>
      </c>
      <c r="E11" s="115">
        <f>'прил к эксп 3'!P13</f>
        <v>214.15</v>
      </c>
      <c r="F11" s="216">
        <f t="shared" si="0"/>
        <v>103.90082965406822</v>
      </c>
      <c r="G11" s="115">
        <f>'прил к эксп 3'!R13</f>
        <v>209.47130120481927</v>
      </c>
    </row>
    <row r="12" spans="1:16" s="187" customFormat="1" ht="15.75" x14ac:dyDescent="0.2">
      <c r="A12" s="120">
        <v>5</v>
      </c>
      <c r="B12" s="117" t="s">
        <v>114</v>
      </c>
      <c r="C12" s="117"/>
      <c r="D12" s="117" t="e">
        <f>(D11*D5+D5*D10)/D5</f>
        <v>#REF!</v>
      </c>
      <c r="E12" s="117">
        <f t="shared" ref="E12:G12" si="1">(E11*E5+E5*E10)/E5</f>
        <v>1068.21</v>
      </c>
      <c r="F12" s="216" t="e">
        <f t="shared" si="0"/>
        <v>#REF!</v>
      </c>
      <c r="G12" s="117">
        <f t="shared" si="1"/>
        <v>1042.1279999999999</v>
      </c>
    </row>
    <row r="13" spans="1:16" ht="15.75" x14ac:dyDescent="0.2">
      <c r="A13" s="119">
        <v>6</v>
      </c>
      <c r="B13" s="112" t="s">
        <v>116</v>
      </c>
      <c r="C13" s="112"/>
      <c r="D13" s="115" t="e">
        <f>(D9+D12)</f>
        <v>#REF!</v>
      </c>
      <c r="E13" s="115">
        <f t="shared" ref="E13:G13" si="2">(E9+E12)</f>
        <v>4399.21</v>
      </c>
      <c r="F13" s="216" t="e">
        <f t="shared" si="0"/>
        <v>#REF!</v>
      </c>
      <c r="G13" s="115">
        <f t="shared" si="2"/>
        <v>4300.3870361445779</v>
      </c>
    </row>
    <row r="14" spans="1:16" s="187" customFormat="1" ht="15.75" x14ac:dyDescent="0.2">
      <c r="A14" s="120">
        <v>7</v>
      </c>
      <c r="B14" s="117" t="s">
        <v>117</v>
      </c>
      <c r="C14" s="117"/>
      <c r="D14" s="117" t="e">
        <f>D13*$P$2</f>
        <v>#REF!</v>
      </c>
      <c r="E14" s="117">
        <f t="shared" ref="E14:G14" si="3">E13*$P$2</f>
        <v>5191.0677999999998</v>
      </c>
      <c r="F14" s="216" t="e">
        <f t="shared" si="0"/>
        <v>#REF!</v>
      </c>
      <c r="G14" s="117">
        <f t="shared" si="3"/>
        <v>5074.456702650602</v>
      </c>
    </row>
    <row r="15" spans="1:16" s="187" customFormat="1" ht="15.75" x14ac:dyDescent="0.2">
      <c r="A15" s="205">
        <v>8</v>
      </c>
      <c r="B15" s="173" t="s">
        <v>118</v>
      </c>
      <c r="C15" s="173"/>
      <c r="D15" s="173" t="e">
        <f>D12*D5/(D6*D17+D7*D18+D8*D19)</f>
        <v>#REF!</v>
      </c>
      <c r="E15" s="173" t="e">
        <f t="shared" ref="E15:G15" si="4">E12*E5/(E6*E17+E7*E18+E8*E19)</f>
        <v>#REF!</v>
      </c>
      <c r="F15" s="115" t="e">
        <f t="shared" si="0"/>
        <v>#REF!</v>
      </c>
      <c r="G15" s="173" t="e">
        <f t="shared" si="4"/>
        <v>#REF!</v>
      </c>
    </row>
    <row r="16" spans="1:16" x14ac:dyDescent="0.2">
      <c r="A16" s="178"/>
      <c r="B16" s="183" t="s">
        <v>119</v>
      </c>
      <c r="C16" s="183"/>
      <c r="D16" s="178"/>
      <c r="E16" s="178"/>
      <c r="F16" s="115"/>
      <c r="G16" s="178"/>
    </row>
    <row r="17" spans="1:12" ht="78.75" x14ac:dyDescent="0.2">
      <c r="A17" s="178"/>
      <c r="B17" s="16" t="s">
        <v>199</v>
      </c>
      <c r="C17" s="179"/>
      <c r="D17" s="180">
        <v>1</v>
      </c>
      <c r="E17" s="215">
        <v>6</v>
      </c>
      <c r="F17" s="115">
        <f t="shared" si="0"/>
        <v>600</v>
      </c>
      <c r="G17" s="180" t="e">
        <f>(D17*D6+E17*E6)/G6</f>
        <v>#REF!</v>
      </c>
    </row>
    <row r="18" spans="1:12" ht="63" x14ac:dyDescent="0.2">
      <c r="A18" s="178"/>
      <c r="B18" s="16" t="s">
        <v>200</v>
      </c>
      <c r="C18" s="179"/>
      <c r="D18" s="180">
        <v>1</v>
      </c>
      <c r="E18" s="215">
        <v>3.5</v>
      </c>
      <c r="F18" s="115">
        <f t="shared" si="0"/>
        <v>350</v>
      </c>
      <c r="G18" s="180" t="e">
        <f>(D18*D7+E18*E7)/G7</f>
        <v>#REF!</v>
      </c>
    </row>
    <row r="19" spans="1:12" ht="47.25" x14ac:dyDescent="0.2">
      <c r="A19" s="178"/>
      <c r="B19" s="16" t="s">
        <v>202</v>
      </c>
      <c r="C19" s="179"/>
      <c r="D19" s="180">
        <v>1</v>
      </c>
      <c r="E19" s="215">
        <v>2</v>
      </c>
      <c r="F19" s="115">
        <f t="shared" si="0"/>
        <v>200</v>
      </c>
      <c r="G19" s="180" t="e">
        <f>(D19*D8+E19*E8)/G8</f>
        <v>#REF!</v>
      </c>
    </row>
    <row r="20" spans="1:12" s="187" customFormat="1" ht="39" x14ac:dyDescent="0.3">
      <c r="A20" s="203">
        <v>9</v>
      </c>
      <c r="B20" s="244" t="s">
        <v>120</v>
      </c>
      <c r="C20" s="204"/>
      <c r="D20" s="203"/>
      <c r="E20" s="203"/>
      <c r="F20" s="115"/>
      <c r="G20" s="203"/>
    </row>
    <row r="21" spans="1:12" ht="90.75" customHeight="1" x14ac:dyDescent="0.2">
      <c r="A21" s="197"/>
      <c r="B21" s="16" t="s">
        <v>199</v>
      </c>
      <c r="C21" s="198"/>
      <c r="D21" s="197" t="e">
        <f>(D9+D15*D17)*$P$2</f>
        <v>#REF!</v>
      </c>
      <c r="E21" s="197" t="e">
        <f>($E$9+$E$15*E17)*$P$2</f>
        <v>#REF!</v>
      </c>
      <c r="F21" s="115" t="e">
        <f t="shared" si="0"/>
        <v>#REF!</v>
      </c>
      <c r="G21" s="197" t="e">
        <f>($G$9+$G$15*G17)*$P$2</f>
        <v>#REF!</v>
      </c>
    </row>
    <row r="22" spans="1:12" ht="63" x14ac:dyDescent="0.2">
      <c r="A22" s="197"/>
      <c r="B22" s="16" t="s">
        <v>200</v>
      </c>
      <c r="C22" s="199"/>
      <c r="D22" s="197" t="e">
        <f>($D$9+$D$15*D18)*$P$2</f>
        <v>#REF!</v>
      </c>
      <c r="E22" s="197" t="e">
        <f t="shared" ref="E22:E23" si="5">($E$9+$E$15*E18)*$P$2</f>
        <v>#REF!</v>
      </c>
      <c r="F22" s="115" t="e">
        <f t="shared" si="0"/>
        <v>#REF!</v>
      </c>
      <c r="G22" s="197" t="e">
        <f t="shared" ref="G22:G23" si="6">($G$9+$G$15*G18)*$P$2</f>
        <v>#REF!</v>
      </c>
    </row>
    <row r="23" spans="1:12" ht="47.25" x14ac:dyDescent="0.2">
      <c r="A23" s="197"/>
      <c r="B23" s="16" t="s">
        <v>202</v>
      </c>
      <c r="C23" s="199"/>
      <c r="D23" s="197" t="e">
        <f>($D$9+$D$15*D19)*$P$2</f>
        <v>#REF!</v>
      </c>
      <c r="E23" s="197" t="e">
        <f t="shared" si="5"/>
        <v>#REF!</v>
      </c>
      <c r="F23" s="115" t="e">
        <f t="shared" si="0"/>
        <v>#REF!</v>
      </c>
      <c r="G23" s="197" t="e">
        <f t="shared" si="6"/>
        <v>#REF!</v>
      </c>
    </row>
    <row r="24" spans="1:12" x14ac:dyDescent="0.2">
      <c r="A24" s="181"/>
      <c r="B24" s="182" t="s">
        <v>119</v>
      </c>
      <c r="C24" s="182"/>
      <c r="D24" s="181">
        <f>D25+D26+D27</f>
        <v>3</v>
      </c>
      <c r="E24" s="181">
        <f t="shared" ref="E24:G24" si="7">E25+E26+E27</f>
        <v>11.5</v>
      </c>
      <c r="F24" s="115">
        <f t="shared" si="0"/>
        <v>383.33333333333337</v>
      </c>
      <c r="G24" s="181" t="e">
        <f t="shared" si="7"/>
        <v>#REF!</v>
      </c>
      <c r="H24">
        <v>1</v>
      </c>
      <c r="I24">
        <v>1</v>
      </c>
      <c r="J24">
        <v>1</v>
      </c>
    </row>
    <row r="25" spans="1:12" ht="78.75" x14ac:dyDescent="0.2">
      <c r="A25" s="181"/>
      <c r="B25" s="16" t="s">
        <v>199</v>
      </c>
      <c r="C25" s="182"/>
      <c r="D25" s="181">
        <f>D17</f>
        <v>1</v>
      </c>
      <c r="E25" s="181">
        <f t="shared" ref="E25:G27" si="8">E17</f>
        <v>6</v>
      </c>
      <c r="F25" s="115">
        <f t="shared" si="0"/>
        <v>600</v>
      </c>
      <c r="G25" s="181" t="e">
        <f t="shared" si="8"/>
        <v>#REF!</v>
      </c>
      <c r="H25">
        <f>D25*H24/D24</f>
        <v>0.33333333333333331</v>
      </c>
      <c r="I25">
        <f>E25*I24/E24</f>
        <v>0.52173913043478259</v>
      </c>
      <c r="J25" t="e">
        <f t="shared" ref="J25" si="9">G25*J24/G24</f>
        <v>#REF!</v>
      </c>
    </row>
    <row r="26" spans="1:12" ht="63" x14ac:dyDescent="0.2">
      <c r="A26" s="181"/>
      <c r="B26" s="16" t="s">
        <v>200</v>
      </c>
      <c r="C26" s="182"/>
      <c r="D26" s="181">
        <f>D18</f>
        <v>1</v>
      </c>
      <c r="E26" s="181">
        <f t="shared" si="8"/>
        <v>3.5</v>
      </c>
      <c r="F26" s="115">
        <f t="shared" si="0"/>
        <v>350</v>
      </c>
      <c r="G26" s="181" t="e">
        <f t="shared" si="8"/>
        <v>#REF!</v>
      </c>
      <c r="H26">
        <f>D26*H24/D24</f>
        <v>0.33333333333333331</v>
      </c>
      <c r="I26">
        <f>E26*I24/E24</f>
        <v>0.30434782608695654</v>
      </c>
      <c r="J26" t="e">
        <f t="shared" ref="J26" si="10">G26*J24/G24</f>
        <v>#REF!</v>
      </c>
    </row>
    <row r="27" spans="1:12" ht="47.25" x14ac:dyDescent="0.2">
      <c r="A27" s="181"/>
      <c r="B27" s="16" t="s">
        <v>202</v>
      </c>
      <c r="C27" s="182"/>
      <c r="D27" s="181">
        <f>D19</f>
        <v>1</v>
      </c>
      <c r="E27" s="181">
        <f t="shared" si="8"/>
        <v>2</v>
      </c>
      <c r="F27" s="115">
        <f t="shared" si="0"/>
        <v>200</v>
      </c>
      <c r="G27" s="181" t="e">
        <f t="shared" si="8"/>
        <v>#REF!</v>
      </c>
      <c r="H27">
        <f>D27*H24/D24</f>
        <v>0.33333333333333331</v>
      </c>
      <c r="I27">
        <f>E27*I24/E24</f>
        <v>0.17391304347826086</v>
      </c>
      <c r="J27" t="e">
        <f t="shared" ref="J27" si="11">G27*J24/G24</f>
        <v>#REF!</v>
      </c>
    </row>
    <row r="28" spans="1:12" x14ac:dyDescent="0.2">
      <c r="A28" s="116"/>
      <c r="B28" s="116" t="s">
        <v>85</v>
      </c>
      <c r="C28" s="116" t="s">
        <v>65</v>
      </c>
      <c r="D28" s="174" t="e">
        <f>D29+D30+D31</f>
        <v>#REF!</v>
      </c>
      <c r="E28" s="174" t="e">
        <f t="shared" ref="E28:G28" si="12">E29+E30+E31</f>
        <v>#REF!</v>
      </c>
      <c r="F28" s="115" t="e">
        <f t="shared" si="0"/>
        <v>#REF!</v>
      </c>
      <c r="G28" s="174" t="e">
        <f t="shared" si="12"/>
        <v>#REF!</v>
      </c>
      <c r="H28" s="177" t="s">
        <v>181</v>
      </c>
      <c r="I28" s="177"/>
      <c r="J28" s="177"/>
      <c r="K28" s="177"/>
      <c r="L28" s="177"/>
    </row>
    <row r="29" spans="1:12" ht="78.75" x14ac:dyDescent="0.2">
      <c r="A29" s="116"/>
      <c r="B29" s="16" t="s">
        <v>199</v>
      </c>
      <c r="C29" s="116" t="s">
        <v>65</v>
      </c>
      <c r="D29" s="174" t="e">
        <f>D6*D25</f>
        <v>#REF!</v>
      </c>
      <c r="E29" s="174" t="e">
        <f t="shared" ref="E29:G29" si="13">E6*E25</f>
        <v>#REF!</v>
      </c>
      <c r="F29" s="115" t="e">
        <f t="shared" si="0"/>
        <v>#REF!</v>
      </c>
      <c r="G29" s="174" t="e">
        <f t="shared" si="13"/>
        <v>#REF!</v>
      </c>
    </row>
    <row r="30" spans="1:12" ht="63" x14ac:dyDescent="0.2">
      <c r="A30" s="116"/>
      <c r="B30" s="16" t="s">
        <v>200</v>
      </c>
      <c r="C30" s="116" t="s">
        <v>65</v>
      </c>
      <c r="D30" s="174" t="e">
        <f t="shared" ref="D30:G31" si="14">D7*D26</f>
        <v>#REF!</v>
      </c>
      <c r="E30" s="174" t="e">
        <f t="shared" si="14"/>
        <v>#REF!</v>
      </c>
      <c r="F30" s="115" t="e">
        <f t="shared" si="0"/>
        <v>#REF!</v>
      </c>
      <c r="G30" s="174" t="e">
        <f t="shared" si="14"/>
        <v>#REF!</v>
      </c>
    </row>
    <row r="31" spans="1:12" ht="47.25" x14ac:dyDescent="0.2">
      <c r="A31" s="116"/>
      <c r="B31" s="16" t="s">
        <v>202</v>
      </c>
      <c r="C31" s="116" t="s">
        <v>65</v>
      </c>
      <c r="D31" s="174" t="e">
        <f t="shared" si="14"/>
        <v>#REF!</v>
      </c>
      <c r="E31" s="174" t="e">
        <f t="shared" si="14"/>
        <v>#REF!</v>
      </c>
      <c r="F31" s="115" t="e">
        <f t="shared" si="0"/>
        <v>#REF!</v>
      </c>
      <c r="G31" s="174" t="e">
        <f t="shared" si="14"/>
        <v>#REF!</v>
      </c>
    </row>
    <row r="32" spans="1:12" x14ac:dyDescent="0.2">
      <c r="A32" s="116"/>
      <c r="B32" s="116" t="s">
        <v>93</v>
      </c>
      <c r="C32" s="116" t="s">
        <v>65</v>
      </c>
      <c r="D32" s="116" t="e">
        <f>D28</f>
        <v>#REF!</v>
      </c>
      <c r="E32" s="116" t="e">
        <f t="shared" ref="E32:G32" si="15">E28</f>
        <v>#REF!</v>
      </c>
      <c r="F32" s="115" t="e">
        <f t="shared" si="0"/>
        <v>#REF!</v>
      </c>
      <c r="G32" s="116" t="e">
        <f t="shared" si="15"/>
        <v>#REF!</v>
      </c>
      <c r="I32" s="231" t="e">
        <f>(E25*E6+E26*E7+E27*E8)/E5</f>
        <v>#REF!</v>
      </c>
      <c r="J32" s="231" t="e">
        <f>I32*E5</f>
        <v>#REF!</v>
      </c>
    </row>
    <row r="33" spans="1:9" x14ac:dyDescent="0.2">
      <c r="A33" s="116"/>
      <c r="B33" s="112" t="s">
        <v>182</v>
      </c>
      <c r="C33" s="116" t="s">
        <v>72</v>
      </c>
      <c r="D33" s="116" t="e">
        <f>(D5*D12)/D32</f>
        <v>#REF!</v>
      </c>
      <c r="E33" s="116" t="e">
        <f t="shared" ref="E33:G33" si="16">(E5*E12)/E32</f>
        <v>#REF!</v>
      </c>
      <c r="F33" s="115" t="e">
        <f t="shared" si="0"/>
        <v>#REF!</v>
      </c>
      <c r="G33" s="116" t="e">
        <f t="shared" si="16"/>
        <v>#REF!</v>
      </c>
    </row>
    <row r="34" spans="1:9" x14ac:dyDescent="0.2">
      <c r="A34" s="116"/>
      <c r="B34" s="116" t="s">
        <v>97</v>
      </c>
      <c r="C34" s="116"/>
      <c r="D34" s="116"/>
      <c r="E34" s="116"/>
      <c r="F34" s="115"/>
      <c r="G34" s="116"/>
    </row>
    <row r="35" spans="1:9" ht="78.75" x14ac:dyDescent="0.2">
      <c r="A35" s="116"/>
      <c r="B35" s="16" t="s">
        <v>199</v>
      </c>
      <c r="C35" s="116" t="s">
        <v>72</v>
      </c>
      <c r="D35" s="116" t="e">
        <f>$D$33*D25</f>
        <v>#REF!</v>
      </c>
      <c r="E35" s="116" t="e">
        <f>$E$33*E25</f>
        <v>#REF!</v>
      </c>
      <c r="F35" s="115" t="e">
        <f t="shared" si="0"/>
        <v>#REF!</v>
      </c>
      <c r="G35" s="116" t="e">
        <f>$G$33*G25</f>
        <v>#REF!</v>
      </c>
    </row>
    <row r="36" spans="1:9" ht="63" x14ac:dyDescent="0.2">
      <c r="A36" s="116"/>
      <c r="B36" s="16" t="s">
        <v>200</v>
      </c>
      <c r="C36" s="116" t="s">
        <v>72</v>
      </c>
      <c r="D36" s="116" t="e">
        <f t="shared" ref="D36:D37" si="17">$D$33*D26</f>
        <v>#REF!</v>
      </c>
      <c r="E36" s="116" t="e">
        <f t="shared" ref="E36" si="18">$E$33*E26</f>
        <v>#REF!</v>
      </c>
      <c r="F36" s="115" t="e">
        <f t="shared" si="0"/>
        <v>#REF!</v>
      </c>
      <c r="G36" s="116" t="e">
        <f t="shared" ref="G36:G37" si="19">$G$33*G26</f>
        <v>#REF!</v>
      </c>
    </row>
    <row r="37" spans="1:9" ht="47.25" x14ac:dyDescent="0.2">
      <c r="A37" s="116"/>
      <c r="B37" s="16" t="s">
        <v>202</v>
      </c>
      <c r="C37" s="116" t="s">
        <v>72</v>
      </c>
      <c r="D37" s="116" t="e">
        <f t="shared" si="17"/>
        <v>#REF!</v>
      </c>
      <c r="E37" s="116" t="e">
        <f>$E$33*E27</f>
        <v>#REF!</v>
      </c>
      <c r="F37" s="115" t="e">
        <f t="shared" si="0"/>
        <v>#REF!</v>
      </c>
      <c r="G37" s="116" t="e">
        <f t="shared" si="19"/>
        <v>#REF!</v>
      </c>
    </row>
    <row r="38" spans="1:9" s="245" customFormat="1" x14ac:dyDescent="0.2"/>
    <row r="39" spans="1:9" ht="15.75" x14ac:dyDescent="0.2">
      <c r="B39" s="95" t="s">
        <v>205</v>
      </c>
      <c r="C39" s="96"/>
      <c r="D39" s="94"/>
      <c r="E39" s="94"/>
      <c r="F39" s="94"/>
      <c r="G39" s="94"/>
    </row>
    <row r="40" spans="1:9" ht="78.75" x14ac:dyDescent="0.2">
      <c r="B40" s="16" t="s">
        <v>199</v>
      </c>
      <c r="C40" s="90" t="s">
        <v>57</v>
      </c>
      <c r="D40" s="97" t="e">
        <f>D35*D6</f>
        <v>#REF!</v>
      </c>
      <c r="E40" s="97" t="e">
        <f t="shared" ref="E40:G40" si="20">E35*E6</f>
        <v>#REF!</v>
      </c>
      <c r="F40" s="211"/>
      <c r="G40" s="97" t="e">
        <f t="shared" si="20"/>
        <v>#REF!</v>
      </c>
      <c r="H40" s="218"/>
    </row>
    <row r="41" spans="1:9" ht="63" x14ac:dyDescent="0.2">
      <c r="B41" s="16" t="s">
        <v>200</v>
      </c>
      <c r="C41" s="90" t="s">
        <v>57</v>
      </c>
      <c r="D41" s="97" t="e">
        <f t="shared" ref="D41:G42" si="21">D36*D7</f>
        <v>#REF!</v>
      </c>
      <c r="E41" s="97" t="e">
        <f t="shared" si="21"/>
        <v>#REF!</v>
      </c>
      <c r="F41" s="211"/>
      <c r="G41" s="97" t="e">
        <f t="shared" si="21"/>
        <v>#REF!</v>
      </c>
      <c r="H41" s="218"/>
    </row>
    <row r="42" spans="1:9" ht="47.25" x14ac:dyDescent="0.2">
      <c r="B42" s="16" t="s">
        <v>202</v>
      </c>
      <c r="C42" s="100" t="s">
        <v>57</v>
      </c>
      <c r="D42" s="97" t="e">
        <f t="shared" si="21"/>
        <v>#REF!</v>
      </c>
      <c r="E42" s="97" t="e">
        <f t="shared" si="21"/>
        <v>#REF!</v>
      </c>
      <c r="F42" s="211"/>
      <c r="G42" s="97" t="e">
        <f t="shared" si="21"/>
        <v>#REF!</v>
      </c>
      <c r="H42" s="218"/>
    </row>
    <row r="43" spans="1:9" ht="15.75" x14ac:dyDescent="0.2">
      <c r="B43" s="102" t="s">
        <v>106</v>
      </c>
      <c r="C43" s="100" t="s">
        <v>57</v>
      </c>
      <c r="D43" s="103" t="e">
        <f>D40+D41+D42</f>
        <v>#REF!</v>
      </c>
      <c r="E43" s="103" t="e">
        <f t="shared" ref="E43:G43" si="22">E40+E41+E42</f>
        <v>#REF!</v>
      </c>
      <c r="F43" s="212"/>
      <c r="G43" s="103" t="e">
        <f t="shared" si="22"/>
        <v>#REF!</v>
      </c>
    </row>
    <row r="44" spans="1:9" ht="15.75" x14ac:dyDescent="0.2">
      <c r="A44" s="185"/>
      <c r="B44" s="95"/>
      <c r="C44" s="105"/>
      <c r="D44" s="186"/>
      <c r="E44" s="186"/>
      <c r="F44" s="186"/>
      <c r="G44" s="186"/>
      <c r="H44" s="54"/>
    </row>
    <row r="45" spans="1:9" ht="15.75" x14ac:dyDescent="0.2">
      <c r="B45" s="188" t="s">
        <v>134</v>
      </c>
      <c r="C45" s="100" t="s">
        <v>107</v>
      </c>
      <c r="D45" s="192" t="s">
        <v>108</v>
      </c>
      <c r="E45" s="192" t="s">
        <v>33</v>
      </c>
      <c r="F45" s="217"/>
      <c r="G45" s="220" t="s">
        <v>194</v>
      </c>
      <c r="H45" s="228" t="s">
        <v>197</v>
      </c>
      <c r="I45" s="229" t="s">
        <v>195</v>
      </c>
    </row>
    <row r="46" spans="1:9" ht="15.75" x14ac:dyDescent="0.2">
      <c r="B46" s="99" t="s">
        <v>109</v>
      </c>
      <c r="C46" s="701" t="s">
        <v>190</v>
      </c>
      <c r="D46" s="701"/>
      <c r="E46" s="701"/>
      <c r="F46" s="221"/>
      <c r="G46" s="57"/>
      <c r="H46" s="57"/>
      <c r="I46" s="116"/>
    </row>
    <row r="47" spans="1:9" ht="78.75" x14ac:dyDescent="0.2">
      <c r="B47" s="16" t="s">
        <v>199</v>
      </c>
      <c r="C47" s="190">
        <f>D9</f>
        <v>3206</v>
      </c>
      <c r="D47" s="191" t="e">
        <f>C47+D35</f>
        <v>#REF!</v>
      </c>
      <c r="E47" s="191" t="e">
        <f>D47*D6</f>
        <v>#REF!</v>
      </c>
      <c r="F47" s="222"/>
      <c r="G47" s="223" t="e">
        <f>D47*$P$2</f>
        <v>#REF!</v>
      </c>
      <c r="H47" s="224" t="e">
        <f>G47*D6</f>
        <v>#REF!</v>
      </c>
      <c r="I47" s="116"/>
    </row>
    <row r="48" spans="1:9" ht="63" x14ac:dyDescent="0.2">
      <c r="B48" s="16" t="s">
        <v>200</v>
      </c>
      <c r="C48" s="192">
        <f>C47</f>
        <v>3206</v>
      </c>
      <c r="D48" s="191" t="e">
        <f>C48+D36</f>
        <v>#REF!</v>
      </c>
      <c r="E48" s="191" t="e">
        <f>D48*D7</f>
        <v>#REF!</v>
      </c>
      <c r="F48" s="222"/>
      <c r="G48" s="223" t="e">
        <f t="shared" ref="G48:G62" si="23">D48*$P$2</f>
        <v>#REF!</v>
      </c>
      <c r="H48" s="224" t="e">
        <f t="shared" ref="H48:H49" si="24">G48*D7</f>
        <v>#REF!</v>
      </c>
      <c r="I48" s="116"/>
    </row>
    <row r="49" spans="2:10" ht="47.25" x14ac:dyDescent="0.2">
      <c r="B49" s="16" t="s">
        <v>202</v>
      </c>
      <c r="C49" s="192">
        <f>C48</f>
        <v>3206</v>
      </c>
      <c r="D49" s="191" t="e">
        <f>C49+D37</f>
        <v>#REF!</v>
      </c>
      <c r="E49" s="191" t="e">
        <f>D49*D8</f>
        <v>#REF!</v>
      </c>
      <c r="F49" s="222"/>
      <c r="G49" s="223" t="e">
        <f t="shared" si="23"/>
        <v>#REF!</v>
      </c>
      <c r="H49" s="224" t="e">
        <f t="shared" si="24"/>
        <v>#REF!</v>
      </c>
      <c r="I49" s="116"/>
    </row>
    <row r="50" spans="2:10" x14ac:dyDescent="0.2">
      <c r="B50" s="57" t="s">
        <v>106</v>
      </c>
      <c r="C50" s="192"/>
      <c r="D50" s="57"/>
      <c r="E50" s="191" t="e">
        <f>E47+E48+E49</f>
        <v>#REF!</v>
      </c>
      <c r="F50" s="222"/>
      <c r="G50" s="223"/>
      <c r="H50" s="225" t="e">
        <f>H47+H48+H49</f>
        <v>#REF!</v>
      </c>
      <c r="I50" s="115">
        <f>'прил к эксп 3'!N19</f>
        <v>1205249.2682999996</v>
      </c>
    </row>
    <row r="51" spans="2:10" ht="15.75" x14ac:dyDescent="0.2">
      <c r="B51" s="99" t="s">
        <v>109</v>
      </c>
      <c r="C51" s="699" t="s">
        <v>191</v>
      </c>
      <c r="D51" s="699"/>
      <c r="E51" s="699"/>
      <c r="F51" s="226"/>
      <c r="G51" s="223"/>
      <c r="H51" s="116"/>
      <c r="I51" s="116"/>
    </row>
    <row r="52" spans="2:10" ht="78.75" x14ac:dyDescent="0.2">
      <c r="B52" s="16" t="s">
        <v>199</v>
      </c>
      <c r="C52" s="115">
        <f>'прил к эксп 3'!P11</f>
        <v>3331</v>
      </c>
      <c r="D52" s="115" t="e">
        <f>C52+E35</f>
        <v>#REF!</v>
      </c>
      <c r="E52" s="116" t="e">
        <f>D52*G6</f>
        <v>#REF!</v>
      </c>
      <c r="F52" s="227"/>
      <c r="G52" s="223" t="e">
        <f t="shared" si="23"/>
        <v>#REF!</v>
      </c>
      <c r="H52" s="116" t="e">
        <f>G52*E6</f>
        <v>#REF!</v>
      </c>
      <c r="I52" s="116"/>
    </row>
    <row r="53" spans="2:10" ht="63" x14ac:dyDescent="0.2">
      <c r="B53" s="16" t="s">
        <v>200</v>
      </c>
      <c r="C53" s="115">
        <f>C52</f>
        <v>3331</v>
      </c>
      <c r="D53" s="115" t="e">
        <f>C53+E36</f>
        <v>#REF!</v>
      </c>
      <c r="E53" s="116" t="e">
        <f>D53*G7</f>
        <v>#REF!</v>
      </c>
      <c r="F53" s="227"/>
      <c r="G53" s="223" t="e">
        <f t="shared" si="23"/>
        <v>#REF!</v>
      </c>
      <c r="H53" s="116" t="e">
        <f t="shared" ref="H53:H54" si="25">G53*E7</f>
        <v>#REF!</v>
      </c>
      <c r="I53" s="116"/>
    </row>
    <row r="54" spans="2:10" ht="47.25" x14ac:dyDescent="0.2">
      <c r="B54" s="16" t="s">
        <v>202</v>
      </c>
      <c r="C54" s="115">
        <f>C53</f>
        <v>3331</v>
      </c>
      <c r="D54" s="115" t="e">
        <f>C54+E37</f>
        <v>#REF!</v>
      </c>
      <c r="E54" s="116" t="e">
        <f>D54*G8</f>
        <v>#REF!</v>
      </c>
      <c r="F54" s="227"/>
      <c r="G54" s="223" t="e">
        <f t="shared" si="23"/>
        <v>#REF!</v>
      </c>
      <c r="H54" s="116" t="e">
        <f t="shared" si="25"/>
        <v>#REF!</v>
      </c>
      <c r="I54" s="116"/>
    </row>
    <row r="55" spans="2:10" x14ac:dyDescent="0.2">
      <c r="B55" s="57" t="s">
        <v>106</v>
      </c>
      <c r="C55" s="116"/>
      <c r="D55" s="116"/>
      <c r="E55" s="116" t="e">
        <f>E52+E53+E54</f>
        <v>#REF!</v>
      </c>
      <c r="F55" s="219"/>
      <c r="G55" s="223"/>
      <c r="H55" s="116" t="e">
        <f>H52+H53+H54</f>
        <v>#REF!</v>
      </c>
      <c r="I55" s="115">
        <f>'прил к эксп 3'!P19</f>
        <v>900650.26329999976</v>
      </c>
    </row>
    <row r="56" spans="2:10" x14ac:dyDescent="0.2">
      <c r="B56" s="57" t="s">
        <v>198</v>
      </c>
      <c r="C56" s="232">
        <f>C52/C47*100</f>
        <v>103.89893948845913</v>
      </c>
      <c r="D56" s="116"/>
      <c r="E56" s="116"/>
      <c r="F56" s="219"/>
      <c r="G56" s="233" t="e">
        <f>G52/G47*100</f>
        <v>#REF!</v>
      </c>
      <c r="H56" s="116"/>
      <c r="I56" s="115"/>
    </row>
    <row r="57" spans="2:10" x14ac:dyDescent="0.2">
      <c r="B57" s="57"/>
      <c r="C57" s="232">
        <f t="shared" ref="C57:C58" si="26">C53/C48*100</f>
        <v>103.89893948845913</v>
      </c>
      <c r="D57" s="116"/>
      <c r="E57" s="116"/>
      <c r="F57" s="219"/>
      <c r="G57" s="233" t="e">
        <f t="shared" ref="G57:G58" si="27">G53/G48*100</f>
        <v>#REF!</v>
      </c>
      <c r="H57" s="116"/>
      <c r="I57" s="115"/>
    </row>
    <row r="58" spans="2:10" x14ac:dyDescent="0.2">
      <c r="B58" s="57"/>
      <c r="C58" s="232">
        <f t="shared" si="26"/>
        <v>103.89893948845913</v>
      </c>
      <c r="D58" s="116"/>
      <c r="E58" s="116"/>
      <c r="F58" s="219"/>
      <c r="G58" s="233" t="e">
        <f t="shared" si="27"/>
        <v>#REF!</v>
      </c>
      <c r="H58" s="116"/>
      <c r="I58" s="115"/>
    </row>
    <row r="59" spans="2:10" ht="15.75" x14ac:dyDescent="0.2">
      <c r="B59" s="99" t="s">
        <v>109</v>
      </c>
      <c r="C59" s="699" t="s">
        <v>192</v>
      </c>
      <c r="D59" s="699"/>
      <c r="E59" s="699"/>
      <c r="F59" s="193"/>
      <c r="G59" s="223"/>
      <c r="H59" s="116"/>
      <c r="I59" s="116"/>
    </row>
    <row r="60" spans="2:10" ht="78.75" x14ac:dyDescent="0.2">
      <c r="B60" s="16" t="s">
        <v>199</v>
      </c>
      <c r="C60" s="194">
        <f>'прил к эксп 3'!R11</f>
        <v>3258.2590361445782</v>
      </c>
      <c r="D60" s="194" t="e">
        <f>C60+G35</f>
        <v>#REF!</v>
      </c>
      <c r="E60" s="174" t="e">
        <f>D60*G6</f>
        <v>#REF!</v>
      </c>
      <c r="F60" s="174"/>
      <c r="G60" s="223" t="e">
        <f t="shared" si="23"/>
        <v>#REF!</v>
      </c>
      <c r="H60" s="116" t="e">
        <f>G60*G6</f>
        <v>#REF!</v>
      </c>
      <c r="I60" s="116"/>
    </row>
    <row r="61" spans="2:10" ht="63" x14ac:dyDescent="0.2">
      <c r="B61" s="16" t="s">
        <v>200</v>
      </c>
      <c r="C61" s="194">
        <f>C60</f>
        <v>3258.2590361445782</v>
      </c>
      <c r="D61" s="194" t="e">
        <f>C61+G36</f>
        <v>#REF!</v>
      </c>
      <c r="E61" s="174" t="e">
        <f>D61*G7</f>
        <v>#REF!</v>
      </c>
      <c r="F61" s="174"/>
      <c r="G61" s="223" t="e">
        <f t="shared" si="23"/>
        <v>#REF!</v>
      </c>
      <c r="H61" s="116" t="e">
        <f>G61*G7</f>
        <v>#REF!</v>
      </c>
      <c r="I61" s="116"/>
    </row>
    <row r="62" spans="2:10" ht="47.25" x14ac:dyDescent="0.2">
      <c r="B62" s="16" t="s">
        <v>202</v>
      </c>
      <c r="C62" s="194">
        <f>C61</f>
        <v>3258.2590361445782</v>
      </c>
      <c r="D62" s="194" t="e">
        <f>C62+G37</f>
        <v>#REF!</v>
      </c>
      <c r="E62" s="174" t="e">
        <f>D62*G8</f>
        <v>#REF!</v>
      </c>
      <c r="F62" s="174"/>
      <c r="G62" s="223" t="e">
        <f t="shared" si="23"/>
        <v>#REF!</v>
      </c>
      <c r="H62" s="116" t="e">
        <f>G62*G8</f>
        <v>#REF!</v>
      </c>
      <c r="I62" s="116"/>
    </row>
    <row r="63" spans="2:10" x14ac:dyDescent="0.2">
      <c r="B63" s="57" t="s">
        <v>106</v>
      </c>
      <c r="C63" s="174"/>
      <c r="D63" s="174"/>
      <c r="E63" s="174" t="e">
        <f>E60+E61+E62</f>
        <v>#REF!</v>
      </c>
      <c r="F63" s="174"/>
      <c r="G63" s="197" t="e">
        <f>G60/'прил к эксп 3'!M27*100</f>
        <v>#REF!</v>
      </c>
      <c r="H63" s="116" t="e">
        <f>H60+H61+H62</f>
        <v>#REF!</v>
      </c>
      <c r="I63" s="115">
        <f>'прил к эксп 3'!R19</f>
        <v>2105899.5316000003</v>
      </c>
      <c r="J63" t="e">
        <f>E63*1.18</f>
        <v>#REF!</v>
      </c>
    </row>
    <row r="64" spans="2:10" x14ac:dyDescent="0.2">
      <c r="B64" s="57" t="s">
        <v>198</v>
      </c>
      <c r="C64" s="174"/>
      <c r="D64" s="174"/>
      <c r="E64" s="174"/>
      <c r="F64" s="174"/>
      <c r="G64" s="197" t="e">
        <f>G61/'прил к эксп 3'!M28*100</f>
        <v>#REF!</v>
      </c>
      <c r="H64" s="116"/>
      <c r="I64" s="115"/>
    </row>
    <row r="65" spans="2:10" x14ac:dyDescent="0.2">
      <c r="B65" s="57"/>
      <c r="C65" s="174"/>
      <c r="D65" s="174"/>
      <c r="E65" s="174"/>
      <c r="F65" s="174"/>
      <c r="G65" s="197" t="e">
        <f>G62/'прил к эксп 3'!M26*100</f>
        <v>#REF!</v>
      </c>
      <c r="H65" s="116"/>
      <c r="I65" s="115"/>
    </row>
    <row r="66" spans="2:10" x14ac:dyDescent="0.2">
      <c r="B66" s="57"/>
      <c r="C66" s="174"/>
      <c r="D66" s="174"/>
      <c r="E66" s="174"/>
      <c r="F66" s="174"/>
      <c r="G66" s="116"/>
      <c r="H66" s="116"/>
      <c r="I66" s="115"/>
    </row>
    <row r="67" spans="2:10" x14ac:dyDescent="0.2">
      <c r="C67" s="176"/>
      <c r="D67" s="176"/>
      <c r="E67" s="195" t="e">
        <f>E50+E55</f>
        <v>#REF!</v>
      </c>
      <c r="F67" s="195"/>
      <c r="G67" s="196" t="s">
        <v>193</v>
      </c>
      <c r="J67" s="230" t="e">
        <f>H55+H50</f>
        <v>#REF!</v>
      </c>
    </row>
  </sheetData>
  <mergeCells count="5">
    <mergeCell ref="A2:H2"/>
    <mergeCell ref="D3:G3"/>
    <mergeCell ref="C46:E46"/>
    <mergeCell ref="C51:E51"/>
    <mergeCell ref="C59:E5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69"/>
  <sheetViews>
    <sheetView zoomScale="80" zoomScaleNormal="80" workbookViewId="0">
      <selection activeCell="B5" sqref="B5"/>
    </sheetView>
  </sheetViews>
  <sheetFormatPr defaultRowHeight="12.75" x14ac:dyDescent="0.2"/>
  <cols>
    <col min="1" max="1" width="5.7109375" customWidth="1"/>
    <col min="2" max="2" width="72.42578125" customWidth="1"/>
    <col min="3" max="3" width="14.42578125" customWidth="1"/>
    <col min="4" max="4" width="16.5703125" customWidth="1"/>
    <col min="5" max="5" width="16.42578125" customWidth="1"/>
    <col min="6" max="6" width="16.5703125" style="264" hidden="1" customWidth="1"/>
    <col min="7" max="7" width="18.7109375" style="264" hidden="1" customWidth="1"/>
    <col min="8" max="8" width="16.5703125" customWidth="1"/>
    <col min="9" max="9" width="20.7109375" customWidth="1"/>
    <col min="10" max="10" width="18.85546875" customWidth="1"/>
    <col min="11" max="11" width="19.28515625" customWidth="1"/>
    <col min="12" max="12" width="16.85546875" customWidth="1"/>
  </cols>
  <sheetData>
    <row r="1" spans="1:18" ht="43.5" customHeight="1" x14ac:dyDescent="0.2">
      <c r="H1" s="702" t="s">
        <v>213</v>
      </c>
      <c r="I1" s="702"/>
      <c r="R1" s="112" t="s">
        <v>115</v>
      </c>
    </row>
    <row r="2" spans="1:18" ht="51.75" customHeight="1" x14ac:dyDescent="0.2">
      <c r="A2" s="692" t="s">
        <v>212</v>
      </c>
      <c r="B2" s="692"/>
      <c r="C2" s="692"/>
      <c r="D2" s="692"/>
      <c r="E2" s="692"/>
      <c r="F2" s="692"/>
      <c r="G2" s="692"/>
      <c r="H2" s="692"/>
      <c r="I2" s="692"/>
      <c r="J2" s="235"/>
      <c r="K2" s="184" t="s">
        <v>187</v>
      </c>
      <c r="R2" s="113">
        <v>1.18</v>
      </c>
    </row>
    <row r="3" spans="1:18" ht="51.75" customHeight="1" x14ac:dyDescent="0.2">
      <c r="A3" s="209"/>
      <c r="B3" s="209"/>
      <c r="C3" s="209"/>
      <c r="D3" s="700" t="s">
        <v>188</v>
      </c>
      <c r="E3" s="700"/>
      <c r="F3" s="700"/>
      <c r="G3" s="700"/>
      <c r="H3" s="700"/>
      <c r="I3" s="700"/>
      <c r="J3" s="122"/>
      <c r="R3" s="123"/>
    </row>
    <row r="4" spans="1:18" ht="50.25" customHeight="1" x14ac:dyDescent="0.2">
      <c r="A4" s="55" t="s">
        <v>1</v>
      </c>
      <c r="B4" s="55" t="s">
        <v>49</v>
      </c>
      <c r="C4" s="55" t="s">
        <v>50</v>
      </c>
      <c r="D4" s="55" t="s">
        <v>164</v>
      </c>
      <c r="E4" s="55" t="s">
        <v>165</v>
      </c>
      <c r="F4" s="265" t="s">
        <v>210</v>
      </c>
      <c r="G4" s="265" t="s">
        <v>211</v>
      </c>
      <c r="H4" s="55" t="s">
        <v>196</v>
      </c>
      <c r="I4" s="55" t="s">
        <v>189</v>
      </c>
      <c r="R4" s="123"/>
    </row>
    <row r="5" spans="1:18" ht="15.75" x14ac:dyDescent="0.2">
      <c r="A5" s="207">
        <v>1</v>
      </c>
      <c r="B5" s="16" t="s">
        <v>220</v>
      </c>
      <c r="C5" s="16"/>
      <c r="D5" s="115" t="e">
        <f>#REF!</f>
        <v>#REF!</v>
      </c>
      <c r="E5" s="115">
        <f>'прил к эксп 3'!P10</f>
        <v>173.5</v>
      </c>
      <c r="F5" s="266" t="e">
        <f>D5</f>
        <v>#REF!</v>
      </c>
      <c r="G5" s="266" t="e">
        <f>F5/E5*100</f>
        <v>#REF!</v>
      </c>
      <c r="H5" s="115" t="e">
        <f>E5/D5*100</f>
        <v>#REF!</v>
      </c>
      <c r="I5" s="115">
        <f>'прил к эксп 3'!R10</f>
        <v>415</v>
      </c>
      <c r="J5" t="e">
        <f>'МОЙ РАСЧЕТ (3)'!D5*100/'МОЙ РАСЧЕТ (3)'!D5</f>
        <v>#REF!</v>
      </c>
      <c r="K5">
        <f>'МОЙ РАСЧЕТ (3)'!E5*100/'МОЙ РАСЧЕТ (3)'!E5</f>
        <v>100</v>
      </c>
      <c r="L5">
        <f>I5*100/I5</f>
        <v>100</v>
      </c>
    </row>
    <row r="6" spans="1:18" ht="78.75" x14ac:dyDescent="0.2">
      <c r="A6" s="207">
        <v>1</v>
      </c>
      <c r="B6" s="16" t="s">
        <v>199</v>
      </c>
      <c r="C6" s="16"/>
      <c r="D6" s="114" t="e">
        <f>#REF!</f>
        <v>#REF!</v>
      </c>
      <c r="E6" s="114" t="e">
        <f>#REF!</f>
        <v>#REF!</v>
      </c>
      <c r="F6" s="266" t="e">
        <f t="shared" ref="F6:F8" si="0">D6</f>
        <v>#REF!</v>
      </c>
      <c r="G6" s="266" t="e">
        <f t="shared" ref="G6:G39" si="1">F6/E6*100</f>
        <v>#REF!</v>
      </c>
      <c r="H6" s="115" t="e">
        <f t="shared" ref="H6:H39" si="2">E6/D6*100</f>
        <v>#REF!</v>
      </c>
      <c r="I6" s="114" t="e">
        <f>#REF!</f>
        <v>#REF!</v>
      </c>
      <c r="J6" s="175" t="e">
        <f>D6*100/245</f>
        <v>#REF!</v>
      </c>
      <c r="K6" s="175" t="e">
        <f>E6*100/E5</f>
        <v>#REF!</v>
      </c>
      <c r="L6" t="e">
        <f>I6*100/I5</f>
        <v>#REF!</v>
      </c>
    </row>
    <row r="7" spans="1:18" ht="63" x14ac:dyDescent="0.2">
      <c r="A7" s="207">
        <v>2</v>
      </c>
      <c r="B7" s="16" t="s">
        <v>200</v>
      </c>
      <c r="C7" s="16"/>
      <c r="D7" s="114" t="e">
        <f>#REF!+#REF!</f>
        <v>#REF!</v>
      </c>
      <c r="E7" s="114" t="e">
        <f>#REF!+#REF!</f>
        <v>#REF!</v>
      </c>
      <c r="F7" s="266" t="e">
        <f t="shared" si="0"/>
        <v>#REF!</v>
      </c>
      <c r="G7" s="266" t="e">
        <f t="shared" si="1"/>
        <v>#REF!</v>
      </c>
      <c r="H7" s="115" t="e">
        <f t="shared" si="2"/>
        <v>#REF!</v>
      </c>
      <c r="I7" s="114" t="e">
        <f>#REF!+#REF!</f>
        <v>#REF!</v>
      </c>
      <c r="J7" t="e">
        <f>D7*100/D5</f>
        <v>#REF!</v>
      </c>
      <c r="K7" s="243" t="e">
        <f>E7*100/E5</f>
        <v>#REF!</v>
      </c>
      <c r="L7" t="e">
        <f>I7*100/I5</f>
        <v>#REF!</v>
      </c>
    </row>
    <row r="8" spans="1:18" ht="47.25" x14ac:dyDescent="0.2">
      <c r="A8" s="207">
        <v>3</v>
      </c>
      <c r="B8" s="16" t="s">
        <v>221</v>
      </c>
      <c r="C8" s="16"/>
      <c r="D8" s="114" t="e">
        <f>#REF!+#REF!+#REF!</f>
        <v>#REF!</v>
      </c>
      <c r="E8" s="114" t="e">
        <f>#REF!+#REF!+#REF!</f>
        <v>#REF!</v>
      </c>
      <c r="F8" s="266" t="e">
        <f t="shared" si="0"/>
        <v>#REF!</v>
      </c>
      <c r="G8" s="266" t="e">
        <f t="shared" si="1"/>
        <v>#REF!</v>
      </c>
      <c r="H8" s="115" t="e">
        <f t="shared" si="2"/>
        <v>#REF!</v>
      </c>
      <c r="I8" s="114" t="e">
        <f>#REF!+#REF!+#REF!</f>
        <v>#REF!</v>
      </c>
      <c r="J8" t="e">
        <f>D8*100/D5</f>
        <v>#REF!</v>
      </c>
      <c r="K8" t="e">
        <f>E8*100/E5</f>
        <v>#REF!</v>
      </c>
      <c r="L8" t="e">
        <f>I8*100/I5</f>
        <v>#REF!</v>
      </c>
    </row>
    <row r="9" spans="1:18" ht="15.75" x14ac:dyDescent="0.2">
      <c r="A9" s="281">
        <v>4</v>
      </c>
      <c r="B9" s="16"/>
      <c r="C9" s="16"/>
      <c r="D9" s="114"/>
      <c r="E9" s="114"/>
      <c r="F9" s="266"/>
      <c r="G9" s="266"/>
      <c r="H9" s="115"/>
      <c r="I9" s="114"/>
    </row>
    <row r="10" spans="1:18" ht="15.75" x14ac:dyDescent="0.2">
      <c r="A10" s="281">
        <v>5</v>
      </c>
      <c r="B10" s="16"/>
      <c r="C10" s="16"/>
      <c r="D10" s="114"/>
      <c r="E10" s="114"/>
      <c r="F10" s="266"/>
      <c r="G10" s="266"/>
      <c r="H10" s="115"/>
      <c r="I10" s="114"/>
    </row>
    <row r="11" spans="1:18" ht="15.75" x14ac:dyDescent="0.2">
      <c r="A11" s="207">
        <v>2</v>
      </c>
      <c r="B11" s="24" t="s">
        <v>15</v>
      </c>
      <c r="C11" s="24"/>
      <c r="D11" s="115">
        <f>'прил к эксп 3'!N11</f>
        <v>3206</v>
      </c>
      <c r="E11" s="115">
        <f>'прил к эксп 3'!P11</f>
        <v>3331</v>
      </c>
      <c r="F11" s="266">
        <f>E11</f>
        <v>3331</v>
      </c>
      <c r="G11" s="266">
        <f t="shared" si="1"/>
        <v>100</v>
      </c>
      <c r="H11" s="216">
        <f t="shared" si="2"/>
        <v>103.89893948845913</v>
      </c>
      <c r="I11" s="115">
        <f>'прил к эксп 3'!R11</f>
        <v>3258.2590361445782</v>
      </c>
    </row>
    <row r="12" spans="1:18" ht="15.75" x14ac:dyDescent="0.2">
      <c r="A12" s="207">
        <v>3</v>
      </c>
      <c r="B12" s="24" t="s">
        <v>16</v>
      </c>
      <c r="C12" s="24"/>
      <c r="D12" s="115">
        <f>'прил к эксп 3'!N12</f>
        <v>817.28</v>
      </c>
      <c r="E12" s="115">
        <f>'прил к эксп 3'!P12</f>
        <v>854.06</v>
      </c>
      <c r="F12" s="266">
        <f t="shared" ref="F12:F13" si="3">E12</f>
        <v>854.06</v>
      </c>
      <c r="G12" s="266">
        <f t="shared" si="1"/>
        <v>100</v>
      </c>
      <c r="H12" s="216">
        <f t="shared" si="2"/>
        <v>104.50029365700861</v>
      </c>
      <c r="I12" s="115">
        <f>'прил к эксп 3'!R12</f>
        <v>832.65669879518077</v>
      </c>
    </row>
    <row r="13" spans="1:18" ht="15.75" x14ac:dyDescent="0.2">
      <c r="A13" s="207">
        <v>4</v>
      </c>
      <c r="B13" s="24" t="s">
        <v>17</v>
      </c>
      <c r="C13" s="24"/>
      <c r="D13" s="115">
        <f>'прил к эксп 3'!N13</f>
        <v>206.11</v>
      </c>
      <c r="E13" s="115">
        <f>'прил к эксп 3'!P13</f>
        <v>214.15</v>
      </c>
      <c r="F13" s="266">
        <f t="shared" si="3"/>
        <v>214.15</v>
      </c>
      <c r="G13" s="266">
        <f t="shared" si="1"/>
        <v>100</v>
      </c>
      <c r="H13" s="216">
        <f t="shared" si="2"/>
        <v>103.90082965406822</v>
      </c>
      <c r="I13" s="115">
        <f>'прил к эксп 3'!R13</f>
        <v>209.47130120481927</v>
      </c>
    </row>
    <row r="14" spans="1:18" s="187" customFormat="1" ht="15.75" x14ac:dyDescent="0.2">
      <c r="A14" s="208">
        <v>5</v>
      </c>
      <c r="B14" s="117" t="s">
        <v>114</v>
      </c>
      <c r="C14" s="117"/>
      <c r="D14" s="117" t="e">
        <f>(D13*D5+D5*D12)/D5</f>
        <v>#REF!</v>
      </c>
      <c r="E14" s="117">
        <f t="shared" ref="E14:I14" si="4">(E13*E5+E5*E12)/E5</f>
        <v>1068.21</v>
      </c>
      <c r="F14" s="267" t="e">
        <f t="shared" si="4"/>
        <v>#REF!</v>
      </c>
      <c r="G14" s="266" t="e">
        <f t="shared" si="1"/>
        <v>#REF!</v>
      </c>
      <c r="H14" s="216" t="e">
        <f t="shared" si="2"/>
        <v>#REF!</v>
      </c>
      <c r="I14" s="117">
        <f t="shared" si="4"/>
        <v>1042.1279999999999</v>
      </c>
    </row>
    <row r="15" spans="1:18" ht="15.75" x14ac:dyDescent="0.2">
      <c r="A15" s="207">
        <v>6</v>
      </c>
      <c r="B15" s="112" t="s">
        <v>116</v>
      </c>
      <c r="C15" s="112"/>
      <c r="D15" s="115" t="e">
        <f>(D11+D14)</f>
        <v>#REF!</v>
      </c>
      <c r="E15" s="115">
        <f>(E11+E14)</f>
        <v>4399.21</v>
      </c>
      <c r="F15" s="266" t="e">
        <f t="shared" ref="F15:I15" si="5">(F11+F14)</f>
        <v>#REF!</v>
      </c>
      <c r="G15" s="266" t="e">
        <f t="shared" si="1"/>
        <v>#REF!</v>
      </c>
      <c r="H15" s="216" t="e">
        <f t="shared" si="2"/>
        <v>#REF!</v>
      </c>
      <c r="I15" s="115">
        <f t="shared" si="5"/>
        <v>4300.3870361445779</v>
      </c>
    </row>
    <row r="16" spans="1:18" s="187" customFormat="1" ht="15.75" x14ac:dyDescent="0.2">
      <c r="A16" s="208">
        <v>7</v>
      </c>
      <c r="B16" s="117" t="s">
        <v>117</v>
      </c>
      <c r="C16" s="117"/>
      <c r="D16" s="117" t="e">
        <f>D15*$R$2</f>
        <v>#REF!</v>
      </c>
      <c r="E16" s="117">
        <f t="shared" ref="E16:I16" si="6">E15*$R$2</f>
        <v>5191.0677999999998</v>
      </c>
      <c r="F16" s="267" t="e">
        <f t="shared" si="6"/>
        <v>#REF!</v>
      </c>
      <c r="G16" s="266" t="e">
        <f t="shared" si="1"/>
        <v>#REF!</v>
      </c>
      <c r="H16" s="216" t="e">
        <f t="shared" si="2"/>
        <v>#REF!</v>
      </c>
      <c r="I16" s="117">
        <f t="shared" si="6"/>
        <v>5074.456702650602</v>
      </c>
    </row>
    <row r="17" spans="1:14" s="187" customFormat="1" ht="15.75" x14ac:dyDescent="0.2">
      <c r="A17" s="205">
        <v>8</v>
      </c>
      <c r="B17" s="173" t="s">
        <v>118</v>
      </c>
      <c r="C17" s="173"/>
      <c r="D17" s="173" t="e">
        <f>D14*D5/(D6*D19+D7*D20+D8*D21)</f>
        <v>#REF!</v>
      </c>
      <c r="E17" s="173" t="e">
        <f t="shared" ref="E17:I17" si="7">E14*E5/(E6*E19+E7*E20+E8*E21)</f>
        <v>#REF!</v>
      </c>
      <c r="F17" s="267" t="e">
        <f t="shared" si="7"/>
        <v>#REF!</v>
      </c>
      <c r="G17" s="266" t="e">
        <f t="shared" si="1"/>
        <v>#REF!</v>
      </c>
      <c r="H17" s="115" t="e">
        <f t="shared" si="2"/>
        <v>#REF!</v>
      </c>
      <c r="I17" s="173" t="e">
        <f t="shared" si="7"/>
        <v>#REF!</v>
      </c>
    </row>
    <row r="18" spans="1:14" x14ac:dyDescent="0.2">
      <c r="A18" s="178"/>
      <c r="B18" s="183" t="s">
        <v>119</v>
      </c>
      <c r="C18" s="183"/>
      <c r="D18" s="178"/>
      <c r="E18" s="178"/>
      <c r="F18" s="268"/>
      <c r="G18" s="266" t="e">
        <f t="shared" si="1"/>
        <v>#DIV/0!</v>
      </c>
      <c r="H18" s="115"/>
      <c r="I18" s="178"/>
    </row>
    <row r="19" spans="1:14" ht="78.75" x14ac:dyDescent="0.2">
      <c r="A19" s="178"/>
      <c r="B19" s="16" t="s">
        <v>199</v>
      </c>
      <c r="C19" s="179"/>
      <c r="D19" s="180">
        <v>1</v>
      </c>
      <c r="E19" s="215">
        <v>2</v>
      </c>
      <c r="F19" s="280">
        <v>1.7</v>
      </c>
      <c r="G19" s="266">
        <f t="shared" si="1"/>
        <v>85</v>
      </c>
      <c r="H19" s="115">
        <f t="shared" si="2"/>
        <v>200</v>
      </c>
      <c r="I19" s="180" t="e">
        <f>(D19*D6+E19*E6)/I6</f>
        <v>#REF!</v>
      </c>
      <c r="K19" s="250" t="s">
        <v>195</v>
      </c>
      <c r="L19" s="250" t="s">
        <v>208</v>
      </c>
    </row>
    <row r="20" spans="1:14" ht="63" x14ac:dyDescent="0.2">
      <c r="A20" s="178"/>
      <c r="B20" s="16" t="s">
        <v>200</v>
      </c>
      <c r="C20" s="179"/>
      <c r="D20" s="180">
        <v>1</v>
      </c>
      <c r="E20" s="215">
        <v>2</v>
      </c>
      <c r="F20" s="280">
        <v>1.6</v>
      </c>
      <c r="G20" s="266">
        <f t="shared" si="1"/>
        <v>80</v>
      </c>
      <c r="H20" s="115">
        <f t="shared" si="2"/>
        <v>200</v>
      </c>
      <c r="I20" s="180" t="e">
        <f>(D20*D7+E20*E7)/I7</f>
        <v>#REF!</v>
      </c>
      <c r="K20" s="248">
        <f>K57</f>
        <v>900650.26329999976</v>
      </c>
      <c r="L20" s="249" t="e">
        <f>E23*E6+E7*E24+E25*E8</f>
        <v>#REF!</v>
      </c>
    </row>
    <row r="21" spans="1:14" ht="47.25" x14ac:dyDescent="0.2">
      <c r="A21" s="178"/>
      <c r="B21" s="16" t="s">
        <v>202</v>
      </c>
      <c r="C21" s="179"/>
      <c r="D21" s="180">
        <v>1</v>
      </c>
      <c r="E21" s="215">
        <v>2</v>
      </c>
      <c r="F21" s="280">
        <v>1.5</v>
      </c>
      <c r="G21" s="266">
        <f t="shared" si="1"/>
        <v>75</v>
      </c>
      <c r="H21" s="115">
        <f t="shared" si="2"/>
        <v>200</v>
      </c>
      <c r="I21" s="180" t="e">
        <f>(D21*D8+E21*E8)/I8</f>
        <v>#REF!</v>
      </c>
      <c r="K21" s="185"/>
    </row>
    <row r="22" spans="1:14" s="187" customFormat="1" ht="39" x14ac:dyDescent="0.3">
      <c r="A22" s="203">
        <v>9</v>
      </c>
      <c r="B22" s="244" t="s">
        <v>120</v>
      </c>
      <c r="C22" s="204"/>
      <c r="D22" s="203"/>
      <c r="E22" s="203"/>
      <c r="F22" s="267"/>
      <c r="G22" s="266"/>
      <c r="H22" s="115"/>
      <c r="I22" s="203"/>
      <c r="J22" s="246">
        <f>'прил к эксп 3'!P18</f>
        <v>5191.0677999999989</v>
      </c>
      <c r="K22" s="247"/>
    </row>
    <row r="23" spans="1:14" ht="90.75" customHeight="1" x14ac:dyDescent="0.2">
      <c r="A23" s="197"/>
      <c r="B23" s="16" t="s">
        <v>199</v>
      </c>
      <c r="C23" s="198"/>
      <c r="D23" s="197" t="e">
        <f>(D11+D17*D19)*$R$2</f>
        <v>#REF!</v>
      </c>
      <c r="E23" s="197" t="e">
        <f>($E$11+$E$17*E19)*$R$2</f>
        <v>#REF!</v>
      </c>
      <c r="F23" s="269" t="e">
        <f>($F$11+$F$17*F19)*$R$2</f>
        <v>#REF!</v>
      </c>
      <c r="G23" s="266" t="e">
        <f t="shared" si="1"/>
        <v>#REF!</v>
      </c>
      <c r="H23" s="115" t="e">
        <f t="shared" si="2"/>
        <v>#REF!</v>
      </c>
      <c r="I23" s="197" t="e">
        <f>($I$11+$I$17*I19)*$R$2</f>
        <v>#REF!</v>
      </c>
      <c r="K23" s="251">
        <f>K57</f>
        <v>900650.26329999976</v>
      </c>
    </row>
    <row r="24" spans="1:14" ht="63" x14ac:dyDescent="0.2">
      <c r="A24" s="197"/>
      <c r="B24" s="16" t="s">
        <v>200</v>
      </c>
      <c r="C24" s="199"/>
      <c r="D24" s="197" t="e">
        <f>($D$11+$D$17*D20)*$R$2</f>
        <v>#REF!</v>
      </c>
      <c r="E24" s="197" t="e">
        <f>($E$11+$E$17*E20)*$R$2</f>
        <v>#REF!</v>
      </c>
      <c r="F24" s="269" t="e">
        <f>($F$11+$F$17*F20)*$R$2</f>
        <v>#REF!</v>
      </c>
      <c r="G24" s="266" t="e">
        <f t="shared" si="1"/>
        <v>#REF!</v>
      </c>
      <c r="H24" s="115" t="e">
        <f t="shared" si="2"/>
        <v>#REF!</v>
      </c>
      <c r="I24" s="197" t="e">
        <f>($I$11+$I$17*I20)*$R$2</f>
        <v>#REF!</v>
      </c>
    </row>
    <row r="25" spans="1:14" ht="47.25" x14ac:dyDescent="0.2">
      <c r="A25" s="197"/>
      <c r="B25" s="16" t="s">
        <v>202</v>
      </c>
      <c r="C25" s="199"/>
      <c r="D25" s="197" t="e">
        <f>($D$11+$D$17*D21)*$R$2</f>
        <v>#REF!</v>
      </c>
      <c r="E25" s="197" t="e">
        <f>($E$11+$E$17*E21)*$R$2</f>
        <v>#REF!</v>
      </c>
      <c r="F25" s="269" t="e">
        <f>($F$11+$F$17*F21)*$R$2</f>
        <v>#REF!</v>
      </c>
      <c r="G25" s="266" t="e">
        <f t="shared" si="1"/>
        <v>#REF!</v>
      </c>
      <c r="H25" s="115" t="e">
        <f t="shared" si="2"/>
        <v>#REF!</v>
      </c>
      <c r="I25" s="197" t="e">
        <f>($I$11+$I$17*I21)*$R$2</f>
        <v>#REF!</v>
      </c>
    </row>
    <row r="26" spans="1:14" x14ac:dyDescent="0.2">
      <c r="A26" s="181"/>
      <c r="B26" s="182" t="s">
        <v>119</v>
      </c>
      <c r="C26" s="182"/>
      <c r="D26" s="181">
        <f>D27+D28+D29</f>
        <v>3</v>
      </c>
      <c r="E26" s="181">
        <f t="shared" ref="E26:I26" si="8">E27+E28+E29</f>
        <v>6</v>
      </c>
      <c r="F26" s="268"/>
      <c r="G26" s="266">
        <f t="shared" si="1"/>
        <v>0</v>
      </c>
      <c r="H26" s="115">
        <f t="shared" si="2"/>
        <v>200</v>
      </c>
      <c r="I26" s="181" t="e">
        <f t="shared" si="8"/>
        <v>#REF!</v>
      </c>
      <c r="J26">
        <v>1</v>
      </c>
      <c r="K26">
        <v>1</v>
      </c>
      <c r="L26">
        <v>1</v>
      </c>
    </row>
    <row r="27" spans="1:14" ht="78.75" x14ac:dyDescent="0.2">
      <c r="A27" s="181"/>
      <c r="B27" s="16" t="s">
        <v>199</v>
      </c>
      <c r="C27" s="182"/>
      <c r="D27" s="181">
        <f>D19</f>
        <v>1</v>
      </c>
      <c r="E27" s="181">
        <f t="shared" ref="E27:I29" si="9">E19</f>
        <v>2</v>
      </c>
      <c r="F27" s="268">
        <f>F19</f>
        <v>1.7</v>
      </c>
      <c r="G27" s="266">
        <f t="shared" si="1"/>
        <v>85</v>
      </c>
      <c r="H27" s="115">
        <f t="shared" si="2"/>
        <v>200</v>
      </c>
      <c r="I27" s="181" t="e">
        <f t="shared" si="9"/>
        <v>#REF!</v>
      </c>
      <c r="J27">
        <f>D27*J26/D26</f>
        <v>0.33333333333333331</v>
      </c>
      <c r="K27">
        <f>E27*K26/E26</f>
        <v>0.33333333333333331</v>
      </c>
      <c r="L27" t="e">
        <f t="shared" ref="L27" si="10">I27*L26/I26</f>
        <v>#REF!</v>
      </c>
    </row>
    <row r="28" spans="1:14" ht="63" x14ac:dyDescent="0.2">
      <c r="A28" s="181"/>
      <c r="B28" s="16" t="s">
        <v>200</v>
      </c>
      <c r="C28" s="182"/>
      <c r="D28" s="181">
        <f>D20</f>
        <v>1</v>
      </c>
      <c r="E28" s="181">
        <f t="shared" si="9"/>
        <v>2</v>
      </c>
      <c r="F28" s="268">
        <f>F20</f>
        <v>1.6</v>
      </c>
      <c r="G28" s="266">
        <f t="shared" si="1"/>
        <v>80</v>
      </c>
      <c r="H28" s="115">
        <f t="shared" si="2"/>
        <v>200</v>
      </c>
      <c r="I28" s="181" t="e">
        <f t="shared" si="9"/>
        <v>#REF!</v>
      </c>
      <c r="J28">
        <f>D28*J26/D26</f>
        <v>0.33333333333333331</v>
      </c>
      <c r="K28">
        <f>E28*K26/E26</f>
        <v>0.33333333333333331</v>
      </c>
      <c r="L28" t="e">
        <f t="shared" ref="L28" si="11">I28*L26/I26</f>
        <v>#REF!</v>
      </c>
    </row>
    <row r="29" spans="1:14" ht="47.25" x14ac:dyDescent="0.2">
      <c r="A29" s="181"/>
      <c r="B29" s="16" t="s">
        <v>202</v>
      </c>
      <c r="C29" s="182"/>
      <c r="D29" s="181">
        <f>D21</f>
        <v>1</v>
      </c>
      <c r="E29" s="181">
        <f t="shared" si="9"/>
        <v>2</v>
      </c>
      <c r="F29" s="268">
        <f>F21</f>
        <v>1.5</v>
      </c>
      <c r="G29" s="266">
        <f t="shared" si="1"/>
        <v>75</v>
      </c>
      <c r="H29" s="115">
        <f t="shared" si="2"/>
        <v>200</v>
      </c>
      <c r="I29" s="181" t="e">
        <f t="shared" si="9"/>
        <v>#REF!</v>
      </c>
      <c r="J29">
        <f>D29*J26/D26</f>
        <v>0.33333333333333331</v>
      </c>
      <c r="K29">
        <f>E29*K26/E26</f>
        <v>0.33333333333333331</v>
      </c>
      <c r="L29" t="e">
        <f t="shared" ref="L29" si="12">I29*L26/I26</f>
        <v>#REF!</v>
      </c>
    </row>
    <row r="30" spans="1:14" x14ac:dyDescent="0.2">
      <c r="A30" s="116"/>
      <c r="B30" s="116" t="s">
        <v>85</v>
      </c>
      <c r="C30" s="116" t="s">
        <v>65</v>
      </c>
      <c r="D30" s="174" t="e">
        <f>D31+D32+D33</f>
        <v>#REF!</v>
      </c>
      <c r="E30" s="174" t="e">
        <f t="shared" ref="E30:I30" si="13">E31+E32+E33</f>
        <v>#REF!</v>
      </c>
      <c r="F30" s="270" t="e">
        <f t="shared" si="13"/>
        <v>#REF!</v>
      </c>
      <c r="G30" s="266" t="e">
        <f t="shared" si="1"/>
        <v>#REF!</v>
      </c>
      <c r="H30" s="115" t="e">
        <f t="shared" si="2"/>
        <v>#REF!</v>
      </c>
      <c r="I30" s="174" t="e">
        <f t="shared" si="13"/>
        <v>#REF!</v>
      </c>
      <c r="J30" s="177" t="s">
        <v>181</v>
      </c>
      <c r="K30" s="177"/>
      <c r="L30" s="177"/>
      <c r="M30" s="177"/>
      <c r="N30" s="177"/>
    </row>
    <row r="31" spans="1:14" ht="78.75" x14ac:dyDescent="0.2">
      <c r="A31" s="116"/>
      <c r="B31" s="16" t="s">
        <v>199</v>
      </c>
      <c r="C31" s="116" t="s">
        <v>65</v>
      </c>
      <c r="D31" s="174" t="e">
        <f>D6*D27</f>
        <v>#REF!</v>
      </c>
      <c r="E31" s="174" t="e">
        <f t="shared" ref="E31:I31" si="14">E6*E27</f>
        <v>#REF!</v>
      </c>
      <c r="F31" s="270" t="e">
        <f t="shared" si="14"/>
        <v>#REF!</v>
      </c>
      <c r="G31" s="266" t="e">
        <f t="shared" si="1"/>
        <v>#REF!</v>
      </c>
      <c r="H31" s="115" t="e">
        <f t="shared" si="2"/>
        <v>#REF!</v>
      </c>
      <c r="I31" s="174" t="e">
        <f t="shared" si="14"/>
        <v>#REF!</v>
      </c>
    </row>
    <row r="32" spans="1:14" ht="63" x14ac:dyDescent="0.2">
      <c r="A32" s="116"/>
      <c r="B32" s="16" t="s">
        <v>200</v>
      </c>
      <c r="C32" s="116" t="s">
        <v>65</v>
      </c>
      <c r="D32" s="174" t="e">
        <f>D7*D28</f>
        <v>#REF!</v>
      </c>
      <c r="E32" s="174" t="e">
        <f>E7*E28</f>
        <v>#REF!</v>
      </c>
      <c r="F32" s="270" t="e">
        <f>F7*F28</f>
        <v>#REF!</v>
      </c>
      <c r="G32" s="266" t="e">
        <f t="shared" si="1"/>
        <v>#REF!</v>
      </c>
      <c r="H32" s="115" t="e">
        <f t="shared" si="2"/>
        <v>#REF!</v>
      </c>
      <c r="I32" s="174" t="e">
        <f>I7*I28</f>
        <v>#REF!</v>
      </c>
    </row>
    <row r="33" spans="1:12" ht="47.25" x14ac:dyDescent="0.2">
      <c r="A33" s="116"/>
      <c r="B33" s="16" t="s">
        <v>202</v>
      </c>
      <c r="C33" s="116" t="s">
        <v>65</v>
      </c>
      <c r="D33" s="174" t="e">
        <f>D8*D29</f>
        <v>#REF!</v>
      </c>
      <c r="E33" s="174" t="e">
        <f>E8*E29</f>
        <v>#REF!</v>
      </c>
      <c r="F33" s="270" t="e">
        <f>F8*F29</f>
        <v>#REF!</v>
      </c>
      <c r="G33" s="266" t="e">
        <f t="shared" si="1"/>
        <v>#REF!</v>
      </c>
      <c r="H33" s="115" t="e">
        <f t="shared" si="2"/>
        <v>#REF!</v>
      </c>
      <c r="I33" s="174" t="e">
        <f>I8*I29</f>
        <v>#REF!</v>
      </c>
    </row>
    <row r="34" spans="1:12" x14ac:dyDescent="0.2">
      <c r="A34" s="116"/>
      <c r="B34" s="116" t="s">
        <v>93</v>
      </c>
      <c r="C34" s="116" t="s">
        <v>65</v>
      </c>
      <c r="D34" s="116" t="e">
        <f>D30</f>
        <v>#REF!</v>
      </c>
      <c r="E34" s="116" t="e">
        <f t="shared" ref="E34:I34" si="15">E30</f>
        <v>#REF!</v>
      </c>
      <c r="F34" s="269" t="e">
        <f t="shared" si="15"/>
        <v>#REF!</v>
      </c>
      <c r="G34" s="266" t="e">
        <f t="shared" si="1"/>
        <v>#REF!</v>
      </c>
      <c r="H34" s="115" t="e">
        <f t="shared" si="2"/>
        <v>#REF!</v>
      </c>
      <c r="I34" s="116" t="e">
        <f t="shared" si="15"/>
        <v>#REF!</v>
      </c>
      <c r="K34" s="231" t="e">
        <f>(E27*E6+E28*E7+E29*E8)/E5</f>
        <v>#REF!</v>
      </c>
      <c r="L34" s="231" t="e">
        <f>K34*E5</f>
        <v>#REF!</v>
      </c>
    </row>
    <row r="35" spans="1:12" x14ac:dyDescent="0.2">
      <c r="A35" s="116"/>
      <c r="B35" s="112" t="s">
        <v>182</v>
      </c>
      <c r="C35" s="116" t="s">
        <v>72</v>
      </c>
      <c r="D35" s="116" t="e">
        <f>(D5*D14)/D34</f>
        <v>#REF!</v>
      </c>
      <c r="E35" s="116" t="e">
        <f t="shared" ref="E35:I35" si="16">(E5*E14)/E34</f>
        <v>#REF!</v>
      </c>
      <c r="F35" s="269" t="e">
        <f t="shared" si="16"/>
        <v>#REF!</v>
      </c>
      <c r="G35" s="266" t="e">
        <f t="shared" si="1"/>
        <v>#REF!</v>
      </c>
      <c r="H35" s="115" t="e">
        <f t="shared" si="2"/>
        <v>#REF!</v>
      </c>
      <c r="I35" s="116" t="e">
        <f t="shared" si="16"/>
        <v>#REF!</v>
      </c>
    </row>
    <row r="36" spans="1:12" x14ac:dyDescent="0.2">
      <c r="A36" s="116"/>
      <c r="B36" s="116" t="s">
        <v>97</v>
      </c>
      <c r="C36" s="116"/>
      <c r="D36" s="116"/>
      <c r="E36" s="116"/>
      <c r="F36" s="269"/>
      <c r="G36" s="266" t="e">
        <f t="shared" si="1"/>
        <v>#DIV/0!</v>
      </c>
      <c r="H36" s="115"/>
      <c r="I36" s="116"/>
    </row>
    <row r="37" spans="1:12" ht="78.75" x14ac:dyDescent="0.2">
      <c r="A37" s="116"/>
      <c r="B37" s="16" t="s">
        <v>199</v>
      </c>
      <c r="C37" s="116" t="s">
        <v>72</v>
      </c>
      <c r="D37" s="116" t="e">
        <f>$D$35*D27</f>
        <v>#REF!</v>
      </c>
      <c r="E37" s="116" t="e">
        <f>$E$35*E27</f>
        <v>#REF!</v>
      </c>
      <c r="F37" s="269" t="e">
        <f>$F$35*F27</f>
        <v>#REF!</v>
      </c>
      <c r="G37" s="266" t="e">
        <f t="shared" si="1"/>
        <v>#REF!</v>
      </c>
      <c r="H37" s="115" t="e">
        <f t="shared" si="2"/>
        <v>#REF!</v>
      </c>
      <c r="I37" s="116" t="e">
        <f>$I$35*I27</f>
        <v>#REF!</v>
      </c>
    </row>
    <row r="38" spans="1:12" ht="63" x14ac:dyDescent="0.2">
      <c r="A38" s="116"/>
      <c r="B38" s="16" t="s">
        <v>200</v>
      </c>
      <c r="C38" s="116" t="s">
        <v>72</v>
      </c>
      <c r="D38" s="116" t="e">
        <f t="shared" ref="D38:D39" si="17">$D$35*D28</f>
        <v>#REF!</v>
      </c>
      <c r="E38" s="116" t="e">
        <f t="shared" ref="E38" si="18">$E$35*E28</f>
        <v>#REF!</v>
      </c>
      <c r="F38" s="269" t="e">
        <f t="shared" ref="F38:F39" si="19">$F$35*F28</f>
        <v>#REF!</v>
      </c>
      <c r="G38" s="266" t="e">
        <f t="shared" si="1"/>
        <v>#REF!</v>
      </c>
      <c r="H38" s="115" t="e">
        <f t="shared" si="2"/>
        <v>#REF!</v>
      </c>
      <c r="I38" s="116" t="e">
        <f t="shared" ref="I38:I39" si="20">$I$35*I28</f>
        <v>#REF!</v>
      </c>
    </row>
    <row r="39" spans="1:12" ht="47.25" x14ac:dyDescent="0.2">
      <c r="A39" s="116"/>
      <c r="B39" s="16" t="s">
        <v>202</v>
      </c>
      <c r="C39" s="116" t="s">
        <v>72</v>
      </c>
      <c r="D39" s="116" t="e">
        <f t="shared" si="17"/>
        <v>#REF!</v>
      </c>
      <c r="E39" s="116" t="e">
        <f>$E$35*E29</f>
        <v>#REF!</v>
      </c>
      <c r="F39" s="269" t="e">
        <f t="shared" si="19"/>
        <v>#REF!</v>
      </c>
      <c r="G39" s="266" t="e">
        <f t="shared" si="1"/>
        <v>#REF!</v>
      </c>
      <c r="H39" s="115" t="e">
        <f t="shared" si="2"/>
        <v>#REF!</v>
      </c>
      <c r="I39" s="116" t="e">
        <f t="shared" si="20"/>
        <v>#REF!</v>
      </c>
    </row>
    <row r="40" spans="1:12" s="245" customFormat="1" x14ac:dyDescent="0.2">
      <c r="F40" s="264"/>
      <c r="G40" s="264"/>
    </row>
    <row r="41" spans="1:12" ht="15.75" x14ac:dyDescent="0.2">
      <c r="B41" s="252" t="s">
        <v>205</v>
      </c>
      <c r="C41" s="253"/>
      <c r="D41" s="254"/>
      <c r="E41" s="254"/>
      <c r="F41" s="271"/>
      <c r="G41" s="271"/>
      <c r="H41" s="254"/>
      <c r="I41" s="254"/>
    </row>
    <row r="42" spans="1:12" ht="78.75" x14ac:dyDescent="0.2">
      <c r="B42" s="255" t="s">
        <v>199</v>
      </c>
      <c r="C42" s="256" t="s">
        <v>57</v>
      </c>
      <c r="D42" s="257" t="e">
        <f>D37*D6</f>
        <v>#REF!</v>
      </c>
      <c r="E42" s="257" t="e">
        <f t="shared" ref="E42:I42" si="21">E37*E6</f>
        <v>#REF!</v>
      </c>
      <c r="F42" s="272"/>
      <c r="G42" s="272"/>
      <c r="H42" s="258"/>
      <c r="I42" s="257" t="e">
        <f t="shared" si="21"/>
        <v>#REF!</v>
      </c>
      <c r="J42" s="218" t="s">
        <v>209</v>
      </c>
    </row>
    <row r="43" spans="1:12" ht="63" x14ac:dyDescent="0.2">
      <c r="B43" s="255" t="s">
        <v>200</v>
      </c>
      <c r="C43" s="256" t="s">
        <v>57</v>
      </c>
      <c r="D43" s="257" t="e">
        <f>D38*D7</f>
        <v>#REF!</v>
      </c>
      <c r="E43" s="257" t="e">
        <f>E38*E7</f>
        <v>#REF!</v>
      </c>
      <c r="F43" s="272"/>
      <c r="G43" s="272"/>
      <c r="H43" s="258"/>
      <c r="I43" s="257" t="e">
        <f>I38*I7</f>
        <v>#REF!</v>
      </c>
      <c r="J43" s="262" t="e">
        <f>(E42+C49)*R2*E27</f>
        <v>#REF!</v>
      </c>
      <c r="K43" s="176" t="e">
        <f>J43*R2</f>
        <v>#REF!</v>
      </c>
    </row>
    <row r="44" spans="1:12" ht="47.25" x14ac:dyDescent="0.2">
      <c r="B44" s="255" t="s">
        <v>202</v>
      </c>
      <c r="C44" s="256" t="s">
        <v>57</v>
      </c>
      <c r="D44" s="257" t="e">
        <f>D39*D8</f>
        <v>#REF!</v>
      </c>
      <c r="E44" s="257" t="e">
        <f>E39*E8</f>
        <v>#REF!</v>
      </c>
      <c r="F44" s="272"/>
      <c r="G44" s="272"/>
      <c r="H44" s="258"/>
      <c r="I44" s="257" t="e">
        <f>I39*I8</f>
        <v>#REF!</v>
      </c>
      <c r="J44" s="262" t="e">
        <f>R2*(E6*(C49+(E35*E27)))</f>
        <v>#REF!</v>
      </c>
      <c r="K44" s="176"/>
    </row>
    <row r="45" spans="1:12" ht="15.75" x14ac:dyDescent="0.2">
      <c r="B45" s="259" t="s">
        <v>106</v>
      </c>
      <c r="C45" s="256" t="s">
        <v>57</v>
      </c>
      <c r="D45" s="260" t="e">
        <f>D42+D43+D44</f>
        <v>#REF!</v>
      </c>
      <c r="E45" s="260" t="e">
        <f t="shared" ref="E45:I45" si="22">E42+E43+E44</f>
        <v>#REF!</v>
      </c>
      <c r="F45" s="273"/>
      <c r="G45" s="273"/>
      <c r="H45" s="261"/>
      <c r="I45" s="260" t="e">
        <f t="shared" si="22"/>
        <v>#REF!</v>
      </c>
    </row>
    <row r="46" spans="1:12" ht="15.75" x14ac:dyDescent="0.2">
      <c r="A46" s="185"/>
      <c r="B46" s="95"/>
      <c r="C46" s="105"/>
      <c r="D46" s="186"/>
      <c r="E46" s="186"/>
      <c r="F46" s="274"/>
      <c r="G46" s="274"/>
      <c r="H46" s="186"/>
      <c r="I46" s="186"/>
      <c r="J46" s="54"/>
    </row>
    <row r="47" spans="1:12" ht="15.75" x14ac:dyDescent="0.2">
      <c r="B47" s="188" t="s">
        <v>134</v>
      </c>
      <c r="C47" s="100" t="s">
        <v>107</v>
      </c>
      <c r="D47" s="192" t="s">
        <v>108</v>
      </c>
      <c r="E47" s="192" t="s">
        <v>33</v>
      </c>
      <c r="F47" s="275"/>
      <c r="G47" s="275"/>
      <c r="H47" s="217"/>
      <c r="I47" s="220" t="s">
        <v>194</v>
      </c>
      <c r="J47" s="228" t="s">
        <v>197</v>
      </c>
      <c r="K47" s="229" t="s">
        <v>195</v>
      </c>
    </row>
    <row r="48" spans="1:12" ht="15.75" x14ac:dyDescent="0.2">
      <c r="B48" s="99" t="s">
        <v>109</v>
      </c>
      <c r="C48" s="701" t="s">
        <v>190</v>
      </c>
      <c r="D48" s="701"/>
      <c r="E48" s="701"/>
      <c r="F48" s="276"/>
      <c r="G48" s="276"/>
      <c r="H48" s="221"/>
      <c r="I48" s="57"/>
      <c r="J48" s="57"/>
      <c r="K48" s="116"/>
    </row>
    <row r="49" spans="2:13" ht="78.75" x14ac:dyDescent="0.2">
      <c r="B49" s="16" t="s">
        <v>199</v>
      </c>
      <c r="C49" s="190">
        <f>D11</f>
        <v>3206</v>
      </c>
      <c r="D49" s="191" t="e">
        <f>C49+D37</f>
        <v>#REF!</v>
      </c>
      <c r="E49" s="191" t="e">
        <f>D49*D6</f>
        <v>#REF!</v>
      </c>
      <c r="F49" s="277"/>
      <c r="G49" s="277"/>
      <c r="H49" s="222"/>
      <c r="I49" s="223" t="e">
        <f>D49*$R$2</f>
        <v>#REF!</v>
      </c>
      <c r="J49" s="224" t="e">
        <f>I49*D6</f>
        <v>#REF!</v>
      </c>
      <c r="K49" s="116"/>
    </row>
    <row r="50" spans="2:13" ht="63" x14ac:dyDescent="0.2">
      <c r="B50" s="16" t="s">
        <v>200</v>
      </c>
      <c r="C50" s="192">
        <f>C49</f>
        <v>3206</v>
      </c>
      <c r="D50" s="191" t="e">
        <f>C50+D38</f>
        <v>#REF!</v>
      </c>
      <c r="E50" s="191" t="e">
        <f>D50*D7</f>
        <v>#REF!</v>
      </c>
      <c r="F50" s="277"/>
      <c r="G50" s="277"/>
      <c r="H50" s="222"/>
      <c r="I50" s="223" t="e">
        <f t="shared" ref="I50:I64" si="23">D50*$R$2</f>
        <v>#REF!</v>
      </c>
      <c r="J50" s="224" t="e">
        <f>I50*D7</f>
        <v>#REF!</v>
      </c>
      <c r="K50" s="116"/>
    </row>
    <row r="51" spans="2:13" ht="47.25" x14ac:dyDescent="0.2">
      <c r="B51" s="16" t="s">
        <v>202</v>
      </c>
      <c r="C51" s="192">
        <f>C50</f>
        <v>3206</v>
      </c>
      <c r="D51" s="191" t="e">
        <f>C51+D39</f>
        <v>#REF!</v>
      </c>
      <c r="E51" s="191" t="e">
        <f>D51*D8</f>
        <v>#REF!</v>
      </c>
      <c r="F51" s="277"/>
      <c r="G51" s="277"/>
      <c r="H51" s="222"/>
      <c r="I51" s="223" t="e">
        <f t="shared" si="23"/>
        <v>#REF!</v>
      </c>
      <c r="J51" s="224" t="e">
        <f>I51*D8</f>
        <v>#REF!</v>
      </c>
      <c r="K51" s="116"/>
    </row>
    <row r="52" spans="2:13" x14ac:dyDescent="0.2">
      <c r="B52" s="57" t="s">
        <v>106</v>
      </c>
      <c r="C52" s="192"/>
      <c r="D52" s="57"/>
      <c r="E52" s="191" t="e">
        <f>E49+E50+E51</f>
        <v>#REF!</v>
      </c>
      <c r="F52" s="277"/>
      <c r="G52" s="277"/>
      <c r="H52" s="222"/>
      <c r="I52" s="223"/>
      <c r="J52" s="225" t="e">
        <f>J49+J50+J51</f>
        <v>#REF!</v>
      </c>
      <c r="K52" s="115">
        <f>'прил к эксп 3'!N19</f>
        <v>1205249.2682999996</v>
      </c>
    </row>
    <row r="53" spans="2:13" ht="15.75" x14ac:dyDescent="0.2">
      <c r="B53" s="99" t="s">
        <v>109</v>
      </c>
      <c r="C53" s="699" t="s">
        <v>191</v>
      </c>
      <c r="D53" s="699"/>
      <c r="E53" s="699"/>
      <c r="F53" s="278"/>
      <c r="G53" s="278"/>
      <c r="H53" s="226"/>
      <c r="I53" s="223"/>
      <c r="J53" s="116"/>
      <c r="K53" s="116"/>
    </row>
    <row r="54" spans="2:13" ht="78.75" x14ac:dyDescent="0.2">
      <c r="B54" s="16" t="s">
        <v>199</v>
      </c>
      <c r="C54" s="115">
        <f>'прил к эксп 3'!P11</f>
        <v>3331</v>
      </c>
      <c r="D54" s="115" t="e">
        <f>C54+E37</f>
        <v>#REF!</v>
      </c>
      <c r="E54" s="116" t="e">
        <f>D54*E6</f>
        <v>#REF!</v>
      </c>
      <c r="F54" s="269"/>
      <c r="G54" s="269"/>
      <c r="H54" s="227"/>
      <c r="I54" s="223" t="e">
        <f t="shared" si="23"/>
        <v>#REF!</v>
      </c>
      <c r="J54" s="116" t="e">
        <f>I54*E6</f>
        <v>#REF!</v>
      </c>
      <c r="K54" s="116"/>
      <c r="L54" t="e">
        <f>D54*R2*E5</f>
        <v>#REF!</v>
      </c>
      <c r="M54" t="e">
        <f>E54*R2</f>
        <v>#REF!</v>
      </c>
    </row>
    <row r="55" spans="2:13" ht="63" x14ac:dyDescent="0.2">
      <c r="B55" s="16" t="s">
        <v>200</v>
      </c>
      <c r="C55" s="115">
        <f>C54</f>
        <v>3331</v>
      </c>
      <c r="D55" s="115" t="e">
        <f>C55+E38</f>
        <v>#REF!</v>
      </c>
      <c r="E55" s="116" t="e">
        <f>D55*E7</f>
        <v>#REF!</v>
      </c>
      <c r="F55" s="269"/>
      <c r="G55" s="269"/>
      <c r="H55" s="227"/>
      <c r="I55" s="223" t="e">
        <f t="shared" si="23"/>
        <v>#REF!</v>
      </c>
      <c r="J55" s="116" t="e">
        <f>I55*E7</f>
        <v>#REF!</v>
      </c>
      <c r="K55" s="116"/>
    </row>
    <row r="56" spans="2:13" ht="47.25" x14ac:dyDescent="0.2">
      <c r="B56" s="16" t="s">
        <v>202</v>
      </c>
      <c r="C56" s="115">
        <f>C55</f>
        <v>3331</v>
      </c>
      <c r="D56" s="115" t="e">
        <f>C56+E39</f>
        <v>#REF!</v>
      </c>
      <c r="E56" s="116" t="e">
        <f>D56*E8</f>
        <v>#REF!</v>
      </c>
      <c r="F56" s="269"/>
      <c r="G56" s="269"/>
      <c r="H56" s="227"/>
      <c r="I56" s="223" t="e">
        <f t="shared" si="23"/>
        <v>#REF!</v>
      </c>
      <c r="J56" s="116" t="e">
        <f>I56*E8</f>
        <v>#REF!</v>
      </c>
      <c r="K56" s="116"/>
    </row>
    <row r="57" spans="2:13" x14ac:dyDescent="0.2">
      <c r="B57" s="57" t="s">
        <v>106</v>
      </c>
      <c r="C57" s="116"/>
      <c r="D57" s="116"/>
      <c r="E57" s="116" t="e">
        <f>E54+E55+E56</f>
        <v>#REF!</v>
      </c>
      <c r="F57" s="269"/>
      <c r="G57" s="269"/>
      <c r="H57" s="219"/>
      <c r="I57" s="223"/>
      <c r="J57" s="116" t="e">
        <f>J54+J55+J56</f>
        <v>#REF!</v>
      </c>
      <c r="K57" s="115">
        <f>'прил к эксп 3'!P19</f>
        <v>900650.26329999976</v>
      </c>
    </row>
    <row r="58" spans="2:13" x14ac:dyDescent="0.2">
      <c r="B58" s="57" t="s">
        <v>198</v>
      </c>
      <c r="C58" s="232">
        <f>C54/C49*100</f>
        <v>103.89893948845913</v>
      </c>
      <c r="D58" s="116"/>
      <c r="E58" s="116"/>
      <c r="F58" s="269"/>
      <c r="G58" s="269"/>
      <c r="H58" s="219"/>
      <c r="I58" s="233" t="e">
        <f>I54/I49*100</f>
        <v>#REF!</v>
      </c>
      <c r="J58" s="116"/>
      <c r="K58" s="115"/>
    </row>
    <row r="59" spans="2:13" x14ac:dyDescent="0.2">
      <c r="B59" s="57"/>
      <c r="C59" s="232">
        <f t="shared" ref="C59:C60" si="24">C55/C50*100</f>
        <v>103.89893948845913</v>
      </c>
      <c r="D59" s="116"/>
      <c r="E59" s="116"/>
      <c r="F59" s="269"/>
      <c r="G59" s="269"/>
      <c r="H59" s="219"/>
      <c r="I59" s="233" t="e">
        <f t="shared" ref="I59:I60" si="25">I55/I50*100</f>
        <v>#REF!</v>
      </c>
      <c r="J59" s="116"/>
      <c r="K59" s="115"/>
    </row>
    <row r="60" spans="2:13" x14ac:dyDescent="0.2">
      <c r="B60" s="57"/>
      <c r="C60" s="232">
        <f t="shared" si="24"/>
        <v>103.89893948845913</v>
      </c>
      <c r="D60" s="116"/>
      <c r="E60" s="116"/>
      <c r="F60" s="269"/>
      <c r="G60" s="269"/>
      <c r="H60" s="219"/>
      <c r="I60" s="233" t="e">
        <f t="shared" si="25"/>
        <v>#REF!</v>
      </c>
      <c r="J60" s="116"/>
      <c r="K60" s="115"/>
    </row>
    <row r="61" spans="2:13" ht="15.75" x14ac:dyDescent="0.2">
      <c r="B61" s="99" t="s">
        <v>109</v>
      </c>
      <c r="C61" s="699" t="s">
        <v>192</v>
      </c>
      <c r="D61" s="699"/>
      <c r="E61" s="699"/>
      <c r="F61" s="278"/>
      <c r="G61" s="278"/>
      <c r="H61" s="210"/>
      <c r="I61" s="223"/>
      <c r="J61" s="116"/>
      <c r="K61" s="116"/>
    </row>
    <row r="62" spans="2:13" ht="78.75" x14ac:dyDescent="0.2">
      <c r="B62" s="16" t="s">
        <v>199</v>
      </c>
      <c r="C62" s="194">
        <f>'прил к эксп 3'!R11</f>
        <v>3258.2590361445782</v>
      </c>
      <c r="D62" s="194" t="e">
        <f>C62+I37</f>
        <v>#REF!</v>
      </c>
      <c r="E62" s="174" t="e">
        <f>D62*I6</f>
        <v>#REF!</v>
      </c>
      <c r="F62" s="270"/>
      <c r="G62" s="270"/>
      <c r="H62" s="174"/>
      <c r="I62" s="223" t="e">
        <f t="shared" si="23"/>
        <v>#REF!</v>
      </c>
      <c r="J62" s="116" t="e">
        <f>I62*I6</f>
        <v>#REF!</v>
      </c>
      <c r="K62" s="116"/>
    </row>
    <row r="63" spans="2:13" ht="63" x14ac:dyDescent="0.2">
      <c r="B63" s="16" t="s">
        <v>200</v>
      </c>
      <c r="C63" s="194">
        <f>C62</f>
        <v>3258.2590361445782</v>
      </c>
      <c r="D63" s="194" t="e">
        <f>C63+I38</f>
        <v>#REF!</v>
      </c>
      <c r="E63" s="174" t="e">
        <f>D63*I7</f>
        <v>#REF!</v>
      </c>
      <c r="F63" s="270"/>
      <c r="G63" s="270"/>
      <c r="H63" s="174"/>
      <c r="I63" s="223" t="e">
        <f t="shared" si="23"/>
        <v>#REF!</v>
      </c>
      <c r="J63" s="116" t="e">
        <f>I63*I7</f>
        <v>#REF!</v>
      </c>
      <c r="K63" s="116"/>
    </row>
    <row r="64" spans="2:13" ht="47.25" x14ac:dyDescent="0.2">
      <c r="B64" s="16" t="s">
        <v>202</v>
      </c>
      <c r="C64" s="194">
        <f>C63</f>
        <v>3258.2590361445782</v>
      </c>
      <c r="D64" s="194" t="e">
        <f>C64+I39</f>
        <v>#REF!</v>
      </c>
      <c r="E64" s="174" t="e">
        <f>D64*I8</f>
        <v>#REF!</v>
      </c>
      <c r="F64" s="270"/>
      <c r="G64" s="270"/>
      <c r="H64" s="174"/>
      <c r="I64" s="223" t="e">
        <f t="shared" si="23"/>
        <v>#REF!</v>
      </c>
      <c r="J64" s="116" t="e">
        <f>I64*I8</f>
        <v>#REF!</v>
      </c>
      <c r="K64" s="116"/>
    </row>
    <row r="65" spans="2:12" x14ac:dyDescent="0.2">
      <c r="B65" s="57" t="s">
        <v>106</v>
      </c>
      <c r="C65" s="174"/>
      <c r="D65" s="174"/>
      <c r="E65" s="174" t="e">
        <f>E62+E63+E64</f>
        <v>#REF!</v>
      </c>
      <c r="F65" s="270"/>
      <c r="G65" s="270"/>
      <c r="H65" s="174"/>
      <c r="I65" s="197" t="e">
        <f>I62/'прил к эксп 3'!M27*100</f>
        <v>#REF!</v>
      </c>
      <c r="J65" s="116" t="e">
        <f>J62+J63+J64</f>
        <v>#REF!</v>
      </c>
      <c r="K65" s="115">
        <f>'прил к эксп 3'!R19</f>
        <v>2105899.5316000003</v>
      </c>
      <c r="L65" t="e">
        <f>E65*1.18</f>
        <v>#REF!</v>
      </c>
    </row>
    <row r="66" spans="2:12" x14ac:dyDescent="0.2">
      <c r="B66" s="57" t="s">
        <v>198</v>
      </c>
      <c r="C66" s="174"/>
      <c r="D66" s="174"/>
      <c r="E66" s="174"/>
      <c r="F66" s="270"/>
      <c r="G66" s="270"/>
      <c r="H66" s="174"/>
      <c r="I66" s="197" t="e">
        <f>I63/'прил к эксп 3'!M28*100</f>
        <v>#REF!</v>
      </c>
      <c r="J66" s="116"/>
      <c r="K66" s="115"/>
    </row>
    <row r="67" spans="2:12" x14ac:dyDescent="0.2">
      <c r="B67" s="57"/>
      <c r="C67" s="174"/>
      <c r="D67" s="174"/>
      <c r="E67" s="174"/>
      <c r="F67" s="270"/>
      <c r="G67" s="270"/>
      <c r="H67" s="174"/>
      <c r="I67" s="197" t="e">
        <f>I64/'прил к эксп 3'!M26*100</f>
        <v>#REF!</v>
      </c>
      <c r="J67" s="116"/>
      <c r="K67" s="115"/>
    </row>
    <row r="68" spans="2:12" x14ac:dyDescent="0.2">
      <c r="B68" s="57"/>
      <c r="C68" s="174"/>
      <c r="D68" s="174"/>
      <c r="E68" s="174"/>
      <c r="F68" s="270"/>
      <c r="G68" s="270"/>
      <c r="H68" s="174"/>
      <c r="I68" s="116"/>
      <c r="J68" s="116"/>
      <c r="K68" s="115"/>
    </row>
    <row r="69" spans="2:12" x14ac:dyDescent="0.2">
      <c r="C69" s="176"/>
      <c r="D69" s="176"/>
      <c r="E69" s="195" t="e">
        <f>E52+E57</f>
        <v>#REF!</v>
      </c>
      <c r="F69" s="279"/>
      <c r="G69" s="279"/>
      <c r="H69" s="195"/>
      <c r="I69" s="196" t="s">
        <v>193</v>
      </c>
      <c r="L69" s="230" t="e">
        <f>J57+J52</f>
        <v>#REF!</v>
      </c>
    </row>
  </sheetData>
  <mergeCells count="6">
    <mergeCell ref="H1:I1"/>
    <mergeCell ref="D3:I3"/>
    <mergeCell ref="C48:E48"/>
    <mergeCell ref="C53:E53"/>
    <mergeCell ref="C61:E61"/>
    <mergeCell ref="A2:I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89"/>
  <sheetViews>
    <sheetView zoomScale="80" zoomScaleNormal="80" workbookViewId="0">
      <selection activeCell="K64" sqref="K64"/>
    </sheetView>
  </sheetViews>
  <sheetFormatPr defaultRowHeight="12.75" x14ac:dyDescent="0.2"/>
  <cols>
    <col min="1" max="1" width="8.42578125" customWidth="1"/>
    <col min="2" max="2" width="72.140625" customWidth="1"/>
    <col min="3" max="3" width="15.42578125" customWidth="1"/>
    <col min="4" max="4" width="16.5703125" customWidth="1"/>
    <col min="5" max="5" width="16.42578125" customWidth="1"/>
    <col min="6" max="6" width="16.5703125" style="264" hidden="1" customWidth="1"/>
    <col min="7" max="7" width="18.7109375" style="264" hidden="1" customWidth="1"/>
    <col min="8" max="8" width="16.5703125" customWidth="1"/>
    <col min="9" max="9" width="20.7109375" customWidth="1"/>
    <col min="10" max="10" width="18.85546875" customWidth="1"/>
    <col min="11" max="11" width="19.28515625" customWidth="1"/>
    <col min="12" max="12" width="16.85546875" customWidth="1"/>
  </cols>
  <sheetData>
    <row r="1" spans="1:18" ht="43.5" customHeight="1" x14ac:dyDescent="0.3">
      <c r="A1" s="289"/>
      <c r="B1" s="289"/>
      <c r="C1" s="289"/>
      <c r="D1" s="289"/>
      <c r="E1" s="289"/>
      <c r="F1" s="289"/>
      <c r="G1" s="289"/>
      <c r="H1" s="703" t="s">
        <v>213</v>
      </c>
      <c r="I1" s="703"/>
      <c r="R1" s="112" t="s">
        <v>115</v>
      </c>
    </row>
    <row r="2" spans="1:18" ht="56.25" customHeight="1" x14ac:dyDescent="0.2">
      <c r="A2" s="704" t="s">
        <v>217</v>
      </c>
      <c r="B2" s="704"/>
      <c r="C2" s="704"/>
      <c r="D2" s="704"/>
      <c r="E2" s="704"/>
      <c r="F2" s="704"/>
      <c r="G2" s="704"/>
      <c r="H2" s="704"/>
      <c r="I2" s="704"/>
      <c r="J2" s="235"/>
      <c r="K2" s="184" t="s">
        <v>187</v>
      </c>
      <c r="R2" s="113">
        <v>1.18</v>
      </c>
    </row>
    <row r="3" spans="1:18" ht="51.75" customHeight="1" x14ac:dyDescent="0.2">
      <c r="A3" s="283"/>
      <c r="B3" s="283"/>
      <c r="C3" s="283"/>
      <c r="D3" s="705"/>
      <c r="E3" s="705"/>
      <c r="F3" s="705"/>
      <c r="G3" s="705"/>
      <c r="H3" s="705"/>
      <c r="I3" s="705"/>
      <c r="J3" s="122"/>
      <c r="R3" s="123"/>
    </row>
    <row r="4" spans="1:18" ht="50.25" customHeight="1" x14ac:dyDescent="0.2">
      <c r="A4" s="288" t="s">
        <v>1</v>
      </c>
      <c r="B4" s="288" t="s">
        <v>49</v>
      </c>
      <c r="C4" s="288" t="s">
        <v>50</v>
      </c>
      <c r="D4" s="288" t="s">
        <v>164</v>
      </c>
      <c r="E4" s="288" t="s">
        <v>165</v>
      </c>
      <c r="F4" s="288" t="s">
        <v>210</v>
      </c>
      <c r="G4" s="288" t="s">
        <v>211</v>
      </c>
      <c r="H4" s="288" t="s">
        <v>216</v>
      </c>
      <c r="I4" s="288" t="s">
        <v>189</v>
      </c>
      <c r="R4" s="123"/>
    </row>
    <row r="5" spans="1:18" ht="20.25" customHeight="1" x14ac:dyDescent="0.2">
      <c r="A5" s="288">
        <v>1</v>
      </c>
      <c r="B5" s="288">
        <v>2</v>
      </c>
      <c r="C5" s="288"/>
      <c r="D5" s="288">
        <v>3</v>
      </c>
      <c r="E5" s="288">
        <v>4</v>
      </c>
      <c r="F5" s="288"/>
      <c r="G5" s="288"/>
      <c r="H5" s="288">
        <v>5</v>
      </c>
      <c r="I5" s="288">
        <v>6</v>
      </c>
      <c r="J5" t="e">
        <f>J7+J8+J9+J10+J11</f>
        <v>#REF!</v>
      </c>
      <c r="K5" s="311" t="e">
        <f t="shared" ref="K5:L5" si="0">K7+K8+K9+K10+K11</f>
        <v>#REF!</v>
      </c>
      <c r="L5" s="311" t="e">
        <f t="shared" si="0"/>
        <v>#REF!</v>
      </c>
      <c r="R5" s="123"/>
    </row>
    <row r="6" spans="1:18" ht="15.75" x14ac:dyDescent="0.2">
      <c r="A6" s="285">
        <v>1</v>
      </c>
      <c r="B6" s="16" t="s">
        <v>220</v>
      </c>
      <c r="C6" s="116" t="s">
        <v>65</v>
      </c>
      <c r="D6" s="290" t="e">
        <f>#REF!</f>
        <v>#REF!</v>
      </c>
      <c r="E6" s="290">
        <f>'прил к эксп 3'!P10</f>
        <v>173.5</v>
      </c>
      <c r="F6" s="290" t="e">
        <f>D6</f>
        <v>#REF!</v>
      </c>
      <c r="G6" s="290" t="e">
        <f>F6/E6*100</f>
        <v>#REF!</v>
      </c>
      <c r="H6" s="291" t="e">
        <f>E6/D6*100</f>
        <v>#REF!</v>
      </c>
      <c r="I6" s="290">
        <f>'прил к эксп 3'!R10</f>
        <v>415</v>
      </c>
      <c r="J6" t="e">
        <f>'МОЙ РАСЧЕТ (4)'!D6*100/'МОЙ РАСЧЕТ (4)'!D6</f>
        <v>#REF!</v>
      </c>
      <c r="K6">
        <f>'МОЙ РАСЧЕТ (4)'!E6*100/'МОЙ РАСЧЕТ (4)'!E6</f>
        <v>100</v>
      </c>
      <c r="L6">
        <f>I6*100/I6</f>
        <v>100</v>
      </c>
    </row>
    <row r="7" spans="1:18" ht="84.75" customHeight="1" x14ac:dyDescent="0.2">
      <c r="A7" s="312">
        <v>1</v>
      </c>
      <c r="B7" s="287" t="s">
        <v>214</v>
      </c>
      <c r="C7" s="116" t="s">
        <v>65</v>
      </c>
      <c r="D7" s="290" t="e">
        <f>#REF!</f>
        <v>#REF!</v>
      </c>
      <c r="E7" s="290" t="e">
        <f>#REF!</f>
        <v>#REF!</v>
      </c>
      <c r="F7" s="290" t="e">
        <f t="shared" ref="F7:F9" si="1">D7</f>
        <v>#REF!</v>
      </c>
      <c r="G7" s="290" t="e">
        <f t="shared" ref="G7:G48" si="2">F7/E7*100</f>
        <v>#REF!</v>
      </c>
      <c r="H7" s="291" t="e">
        <f t="shared" ref="H7:H50" si="3">E7/D7*100</f>
        <v>#REF!</v>
      </c>
      <c r="I7" s="290" t="e">
        <f>#REF!</f>
        <v>#REF!</v>
      </c>
      <c r="J7" s="175" t="e">
        <f>D7*100/D6</f>
        <v>#REF!</v>
      </c>
      <c r="K7" s="175" t="e">
        <f>E7*100/E6</f>
        <v>#REF!</v>
      </c>
      <c r="L7" t="e">
        <f>I7*100/I6</f>
        <v>#REF!</v>
      </c>
    </row>
    <row r="8" spans="1:18" ht="63" x14ac:dyDescent="0.2">
      <c r="A8" s="312">
        <v>2</v>
      </c>
      <c r="B8" s="287" t="s">
        <v>200</v>
      </c>
      <c r="C8" s="116" t="s">
        <v>65</v>
      </c>
      <c r="D8" s="290" t="e">
        <f>#REF!+#REF!</f>
        <v>#REF!</v>
      </c>
      <c r="E8" s="290" t="e">
        <f>#REF!+#REF!</f>
        <v>#REF!</v>
      </c>
      <c r="F8" s="290" t="e">
        <f t="shared" si="1"/>
        <v>#REF!</v>
      </c>
      <c r="G8" s="290" t="e">
        <f t="shared" si="2"/>
        <v>#REF!</v>
      </c>
      <c r="H8" s="291" t="e">
        <f t="shared" si="3"/>
        <v>#REF!</v>
      </c>
      <c r="I8" s="290" t="e">
        <f>#REF!+#REF!</f>
        <v>#REF!</v>
      </c>
      <c r="J8" t="e">
        <f>D8*100/D6</f>
        <v>#REF!</v>
      </c>
      <c r="K8" s="243" t="e">
        <f>E8*100/E6</f>
        <v>#REF!</v>
      </c>
      <c r="L8" t="e">
        <f>I8*100/I6</f>
        <v>#REF!</v>
      </c>
    </row>
    <row r="9" spans="1:18" ht="52.5" customHeight="1" x14ac:dyDescent="0.2">
      <c r="A9" s="312">
        <v>3</v>
      </c>
      <c r="B9" s="313" t="s">
        <v>231</v>
      </c>
      <c r="C9" s="116" t="s">
        <v>65</v>
      </c>
      <c r="D9" s="290" t="e">
        <f>#REF!</f>
        <v>#REF!</v>
      </c>
      <c r="E9" s="290" t="e">
        <f>#REF!</f>
        <v>#REF!</v>
      </c>
      <c r="F9" s="290" t="e">
        <f t="shared" si="1"/>
        <v>#REF!</v>
      </c>
      <c r="G9" s="290" t="e">
        <f t="shared" si="2"/>
        <v>#REF!</v>
      </c>
      <c r="H9" s="291" t="e">
        <f t="shared" si="3"/>
        <v>#REF!</v>
      </c>
      <c r="I9" s="290" t="e">
        <f>#REF!</f>
        <v>#REF!</v>
      </c>
      <c r="J9" t="e">
        <f>D9*100/D6</f>
        <v>#REF!</v>
      </c>
      <c r="K9" t="e">
        <f>E9*100/E6</f>
        <v>#REF!</v>
      </c>
      <c r="L9" t="e">
        <f>I9*100/I6</f>
        <v>#REF!</v>
      </c>
    </row>
    <row r="10" spans="1:18" ht="87.75" customHeight="1" x14ac:dyDescent="0.2">
      <c r="A10" s="312">
        <v>4</v>
      </c>
      <c r="B10" s="287" t="s">
        <v>230</v>
      </c>
      <c r="C10" s="116" t="s">
        <v>65</v>
      </c>
      <c r="D10" s="310" t="e">
        <f>#REF!</f>
        <v>#REF!</v>
      </c>
      <c r="E10" s="310" t="e">
        <f>#REF!</f>
        <v>#REF!</v>
      </c>
      <c r="F10" s="290"/>
      <c r="G10" s="290"/>
      <c r="H10" s="291" t="e">
        <f t="shared" si="3"/>
        <v>#REF!</v>
      </c>
      <c r="I10" s="310" t="e">
        <f>#REF!</f>
        <v>#REF!</v>
      </c>
      <c r="J10" t="e">
        <f>D10*100/D6</f>
        <v>#REF!</v>
      </c>
      <c r="K10" t="e">
        <f>E10*100/E6</f>
        <v>#REF!</v>
      </c>
      <c r="L10" t="e">
        <f>I10*100/I6</f>
        <v>#REF!</v>
      </c>
    </row>
    <row r="11" spans="1:18" ht="88.5" customHeight="1" x14ac:dyDescent="0.2">
      <c r="A11" s="312">
        <v>5</v>
      </c>
      <c r="B11" s="287" t="s">
        <v>222</v>
      </c>
      <c r="C11" s="116" t="s">
        <v>65</v>
      </c>
      <c r="D11" s="310" t="e">
        <f>#REF!</f>
        <v>#REF!</v>
      </c>
      <c r="E11" s="310" t="e">
        <f>#REF!</f>
        <v>#REF!</v>
      </c>
      <c r="F11" s="290"/>
      <c r="G11" s="290"/>
      <c r="H11" s="291" t="e">
        <f t="shared" si="3"/>
        <v>#REF!</v>
      </c>
      <c r="I11" s="310" t="e">
        <f>#REF!</f>
        <v>#REF!</v>
      </c>
      <c r="J11" t="e">
        <f>D11*100/D6</f>
        <v>#REF!</v>
      </c>
      <c r="K11" t="e">
        <f>E11*100/E6</f>
        <v>#REF!</v>
      </c>
      <c r="L11" t="e">
        <f>I11*100/I6</f>
        <v>#REF!</v>
      </c>
    </row>
    <row r="12" spans="1:18" ht="15.75" x14ac:dyDescent="0.2">
      <c r="A12" s="285">
        <v>2</v>
      </c>
      <c r="B12" s="287" t="s">
        <v>15</v>
      </c>
      <c r="C12" s="116" t="s">
        <v>72</v>
      </c>
      <c r="D12" s="290">
        <f>'прил к эксп 3'!N11</f>
        <v>3206</v>
      </c>
      <c r="E12" s="290">
        <f>'прил к эксп 3'!P11</f>
        <v>3331</v>
      </c>
      <c r="F12" s="290">
        <f>E12</f>
        <v>3331</v>
      </c>
      <c r="G12" s="290">
        <f t="shared" si="2"/>
        <v>100</v>
      </c>
      <c r="H12" s="291">
        <f t="shared" si="3"/>
        <v>103.89893948845913</v>
      </c>
      <c r="I12" s="290">
        <f>'прил к эксп 3'!R11</f>
        <v>3258.2590361445782</v>
      </c>
    </row>
    <row r="13" spans="1:18" ht="15.75" x14ac:dyDescent="0.2">
      <c r="A13" s="285">
        <v>3</v>
      </c>
      <c r="B13" s="287" t="s">
        <v>16</v>
      </c>
      <c r="C13" s="116" t="s">
        <v>72</v>
      </c>
      <c r="D13" s="290">
        <f>'прил к эксп 3'!N12</f>
        <v>817.28</v>
      </c>
      <c r="E13" s="290">
        <f>'прил к эксп 3'!P12</f>
        <v>854.06</v>
      </c>
      <c r="F13" s="290">
        <f t="shared" ref="F13:F14" si="4">E13</f>
        <v>854.06</v>
      </c>
      <c r="G13" s="290">
        <f t="shared" si="2"/>
        <v>100</v>
      </c>
      <c r="H13" s="291">
        <f t="shared" si="3"/>
        <v>104.50029365700861</v>
      </c>
      <c r="I13" s="290">
        <f>'прил к эксп 3'!R12</f>
        <v>832.65669879518077</v>
      </c>
    </row>
    <row r="14" spans="1:18" ht="15.75" x14ac:dyDescent="0.2">
      <c r="A14" s="285">
        <v>4</v>
      </c>
      <c r="B14" s="287" t="s">
        <v>17</v>
      </c>
      <c r="C14" s="116" t="s">
        <v>72</v>
      </c>
      <c r="D14" s="290">
        <f>'прил к эксп 3'!N13</f>
        <v>206.11</v>
      </c>
      <c r="E14" s="290">
        <f>'прил к эксп 3'!P13</f>
        <v>214.15</v>
      </c>
      <c r="F14" s="290">
        <f t="shared" si="4"/>
        <v>214.15</v>
      </c>
      <c r="G14" s="290">
        <f t="shared" si="2"/>
        <v>100</v>
      </c>
      <c r="H14" s="291">
        <f t="shared" si="3"/>
        <v>103.90082965406822</v>
      </c>
      <c r="I14" s="290">
        <f>'прил к эксп 3'!R13</f>
        <v>209.47130120481927</v>
      </c>
    </row>
    <row r="15" spans="1:18" s="187" customFormat="1" ht="15.75" x14ac:dyDescent="0.25">
      <c r="A15" s="285">
        <v>5</v>
      </c>
      <c r="B15" s="292" t="s">
        <v>114</v>
      </c>
      <c r="C15" s="116" t="s">
        <v>72</v>
      </c>
      <c r="D15" s="290" t="e">
        <f>(D14*D6+D6*D13)/D6</f>
        <v>#REF!</v>
      </c>
      <c r="E15" s="290">
        <f t="shared" ref="E15:I15" si="5">(E14*E6+E6*E13)/E6</f>
        <v>1068.21</v>
      </c>
      <c r="F15" s="290" t="e">
        <f t="shared" si="5"/>
        <v>#REF!</v>
      </c>
      <c r="G15" s="290" t="e">
        <f t="shared" si="2"/>
        <v>#REF!</v>
      </c>
      <c r="H15" s="291" t="e">
        <f t="shared" si="3"/>
        <v>#REF!</v>
      </c>
      <c r="I15" s="290">
        <f t="shared" si="5"/>
        <v>1042.1279999999999</v>
      </c>
    </row>
    <row r="16" spans="1:18" ht="15.75" x14ac:dyDescent="0.25">
      <c r="A16" s="285">
        <v>6</v>
      </c>
      <c r="B16" s="292" t="s">
        <v>116</v>
      </c>
      <c r="C16" s="116" t="s">
        <v>72</v>
      </c>
      <c r="D16" s="290" t="e">
        <f>(D12+D15)</f>
        <v>#REF!</v>
      </c>
      <c r="E16" s="290">
        <f>(E12+E15)</f>
        <v>4399.21</v>
      </c>
      <c r="F16" s="290" t="e">
        <f t="shared" ref="F16:I16" si="6">(F12+F15)</f>
        <v>#REF!</v>
      </c>
      <c r="G16" s="290" t="e">
        <f t="shared" si="2"/>
        <v>#REF!</v>
      </c>
      <c r="H16" s="291" t="e">
        <f t="shared" si="3"/>
        <v>#REF!</v>
      </c>
      <c r="I16" s="290">
        <f t="shared" si="6"/>
        <v>4300.3870361445779</v>
      </c>
    </row>
    <row r="17" spans="1:12" s="187" customFormat="1" ht="15.75" x14ac:dyDescent="0.25">
      <c r="A17" s="285">
        <v>7</v>
      </c>
      <c r="B17" s="292" t="s">
        <v>117</v>
      </c>
      <c r="C17" s="116" t="s">
        <v>72</v>
      </c>
      <c r="D17" s="290" t="e">
        <f>D16*$R$2</f>
        <v>#REF!</v>
      </c>
      <c r="E17" s="290">
        <f t="shared" ref="E17:I17" si="7">E16*$R$2</f>
        <v>5191.0677999999998</v>
      </c>
      <c r="F17" s="290" t="e">
        <f t="shared" si="7"/>
        <v>#REF!</v>
      </c>
      <c r="G17" s="290" t="e">
        <f t="shared" si="2"/>
        <v>#REF!</v>
      </c>
      <c r="H17" s="291" t="e">
        <f t="shared" si="3"/>
        <v>#REF!</v>
      </c>
      <c r="I17" s="290">
        <f t="shared" si="7"/>
        <v>5074.456702650602</v>
      </c>
    </row>
    <row r="18" spans="1:12" s="187" customFormat="1" ht="15.75" x14ac:dyDescent="0.25">
      <c r="A18" s="285">
        <v>8</v>
      </c>
      <c r="B18" s="292" t="s">
        <v>118</v>
      </c>
      <c r="C18" s="116" t="s">
        <v>72</v>
      </c>
      <c r="D18" s="290" t="e">
        <f>D15*D6/(D7*D20+D8*D21+D9*D22+D23*D10+D24*D11)</f>
        <v>#REF!</v>
      </c>
      <c r="E18" s="290" t="e">
        <f>E15*E6/(E7*E20+E8*E21+E9*E22+E23*E10+E24*E11)</f>
        <v>#REF!</v>
      </c>
      <c r="F18" s="290" t="e">
        <f t="shared" ref="F18" si="8">F15*F6/(F7*F20+F8*F21+F9*F22)</f>
        <v>#REF!</v>
      </c>
      <c r="G18" s="290" t="e">
        <f t="shared" si="2"/>
        <v>#REF!</v>
      </c>
      <c r="H18" s="291" t="e">
        <f t="shared" si="3"/>
        <v>#REF!</v>
      </c>
      <c r="I18" s="290" t="e">
        <f>I15*I6/(I7*I20+I8*I21+I9*I22+I23*I10+I24*I11)</f>
        <v>#REF!</v>
      </c>
    </row>
    <row r="19" spans="1:12" ht="15.75" x14ac:dyDescent="0.25">
      <c r="A19" s="303">
        <v>9</v>
      </c>
      <c r="B19" s="292" t="s">
        <v>223</v>
      </c>
      <c r="C19" s="292"/>
      <c r="D19" s="290"/>
      <c r="E19" s="290"/>
      <c r="F19" s="290"/>
      <c r="G19" s="290" t="e">
        <f t="shared" si="2"/>
        <v>#DIV/0!</v>
      </c>
      <c r="H19" s="291"/>
      <c r="I19" s="290"/>
    </row>
    <row r="20" spans="1:12" ht="81" customHeight="1" x14ac:dyDescent="0.25">
      <c r="A20" s="312">
        <v>1</v>
      </c>
      <c r="B20" s="287" t="s">
        <v>214</v>
      </c>
      <c r="C20" s="293"/>
      <c r="D20" s="290">
        <v>1</v>
      </c>
      <c r="E20" s="290">
        <v>2</v>
      </c>
      <c r="F20" s="290">
        <v>1.7</v>
      </c>
      <c r="G20" s="290">
        <f t="shared" si="2"/>
        <v>85</v>
      </c>
      <c r="H20" s="291">
        <f t="shared" si="3"/>
        <v>200</v>
      </c>
      <c r="I20" s="309" t="e">
        <f>(D20*D7+E20*E7)/I7</f>
        <v>#REF!</v>
      </c>
      <c r="K20" s="250" t="s">
        <v>195</v>
      </c>
      <c r="L20" s="250" t="s">
        <v>208</v>
      </c>
    </row>
    <row r="21" spans="1:12" ht="63" x14ac:dyDescent="0.25">
      <c r="A21" s="312">
        <v>2</v>
      </c>
      <c r="B21" s="287" t="s">
        <v>200</v>
      </c>
      <c r="C21" s="293"/>
      <c r="D21" s="290">
        <v>1</v>
      </c>
      <c r="E21" s="290">
        <v>2</v>
      </c>
      <c r="F21" s="290">
        <v>1.6</v>
      </c>
      <c r="G21" s="290">
        <f t="shared" si="2"/>
        <v>80</v>
      </c>
      <c r="H21" s="291">
        <f t="shared" si="3"/>
        <v>200</v>
      </c>
      <c r="I21" s="309" t="e">
        <f>(D21*D8+E21*E8)/I8</f>
        <v>#REF!</v>
      </c>
      <c r="K21" s="248">
        <f>K72</f>
        <v>900650.26329999976</v>
      </c>
      <c r="L21" s="249" t="e">
        <f>E26*E7+E8*E27+E28*E9</f>
        <v>#REF!</v>
      </c>
    </row>
    <row r="22" spans="1:12" ht="58.5" customHeight="1" x14ac:dyDescent="0.25">
      <c r="A22" s="312">
        <v>3</v>
      </c>
      <c r="B22" s="313" t="s">
        <v>231</v>
      </c>
      <c r="C22" s="293"/>
      <c r="D22" s="290">
        <v>1</v>
      </c>
      <c r="E22" s="290">
        <v>2</v>
      </c>
      <c r="F22" s="290">
        <v>1.5</v>
      </c>
      <c r="G22" s="290">
        <f t="shared" si="2"/>
        <v>75</v>
      </c>
      <c r="H22" s="291">
        <f t="shared" si="3"/>
        <v>200</v>
      </c>
      <c r="I22" s="309" t="e">
        <f>(D22*D9+E22*E9)/I9</f>
        <v>#REF!</v>
      </c>
      <c r="K22" s="185"/>
    </row>
    <row r="23" spans="1:12" ht="84.75" customHeight="1" x14ac:dyDescent="0.25">
      <c r="A23" s="312">
        <v>4</v>
      </c>
      <c r="B23" s="287" t="s">
        <v>230</v>
      </c>
      <c r="C23" s="293"/>
      <c r="D23" s="290">
        <v>1</v>
      </c>
      <c r="E23" s="290">
        <v>2</v>
      </c>
      <c r="F23" s="290"/>
      <c r="G23" s="290"/>
      <c r="H23" s="291">
        <f t="shared" si="3"/>
        <v>200</v>
      </c>
      <c r="I23" s="309" t="e">
        <f t="shared" ref="I23:I24" si="9">(D23*D10+E23*E10)/I10</f>
        <v>#REF!</v>
      </c>
      <c r="K23" s="185"/>
    </row>
    <row r="24" spans="1:12" ht="88.5" customHeight="1" x14ac:dyDescent="0.25">
      <c r="A24" s="312">
        <v>5</v>
      </c>
      <c r="B24" s="287" t="s">
        <v>222</v>
      </c>
      <c r="C24" s="293"/>
      <c r="D24" s="290">
        <v>1</v>
      </c>
      <c r="E24" s="290">
        <v>2</v>
      </c>
      <c r="F24" s="290"/>
      <c r="G24" s="290"/>
      <c r="H24" s="291">
        <f t="shared" si="3"/>
        <v>200</v>
      </c>
      <c r="I24" s="309" t="e">
        <f t="shared" si="9"/>
        <v>#REF!</v>
      </c>
      <c r="K24" s="185"/>
    </row>
    <row r="25" spans="1:12" s="187" customFormat="1" ht="32.25" x14ac:dyDescent="0.3">
      <c r="A25" s="315">
        <v>10</v>
      </c>
      <c r="B25" s="294" t="s">
        <v>224</v>
      </c>
      <c r="C25" s="294"/>
      <c r="D25" s="295"/>
      <c r="E25" s="295"/>
      <c r="F25" s="295"/>
      <c r="G25" s="295"/>
      <c r="H25" s="296"/>
      <c r="I25" s="295"/>
      <c r="J25" s="246">
        <f>'прил к эксп 3'!P18</f>
        <v>5191.0677999999989</v>
      </c>
      <c r="K25" s="247"/>
    </row>
    <row r="26" spans="1:12" ht="82.5" customHeight="1" x14ac:dyDescent="0.2">
      <c r="A26" s="312">
        <v>1</v>
      </c>
      <c r="B26" s="286" t="s">
        <v>214</v>
      </c>
      <c r="C26" s="116" t="s">
        <v>72</v>
      </c>
      <c r="D26" s="297" t="e">
        <f>(D12+D18*D20)*$R$2</f>
        <v>#REF!</v>
      </c>
      <c r="E26" s="297" t="e">
        <f>($E$12+$E$18*E20)*$R$2</f>
        <v>#REF!</v>
      </c>
      <c r="F26" s="297" t="e">
        <f>($F$12+$F$18*F20)*$R$2</f>
        <v>#REF!</v>
      </c>
      <c r="G26" s="297" t="e">
        <f t="shared" si="2"/>
        <v>#REF!</v>
      </c>
      <c r="H26" s="298" t="e">
        <f t="shared" si="3"/>
        <v>#REF!</v>
      </c>
      <c r="I26" s="297" t="e">
        <f>($I$12+$I$18*I20)*$R$2</f>
        <v>#REF!</v>
      </c>
      <c r="J26" t="e">
        <f t="shared" ref="J26:J28" si="10">(D26*D7+E7*E26)/I7</f>
        <v>#REF!</v>
      </c>
      <c r="K26" s="251">
        <f>K72</f>
        <v>900650.26329999976</v>
      </c>
    </row>
    <row r="27" spans="1:12" ht="65.25" customHeight="1" x14ac:dyDescent="0.2">
      <c r="A27" s="312">
        <v>2</v>
      </c>
      <c r="B27" s="286" t="s">
        <v>200</v>
      </c>
      <c r="C27" s="116" t="s">
        <v>72</v>
      </c>
      <c r="D27" s="297" t="e">
        <f>($D$12+$D$18*D21)*$R$2</f>
        <v>#REF!</v>
      </c>
      <c r="E27" s="297" t="e">
        <f>($E$12+$E$18*E21)*$R$2</f>
        <v>#REF!</v>
      </c>
      <c r="F27" s="297" t="e">
        <f>($F$12+$F$18*F21)*$R$2</f>
        <v>#REF!</v>
      </c>
      <c r="G27" s="297" t="e">
        <f t="shared" si="2"/>
        <v>#REF!</v>
      </c>
      <c r="H27" s="298" t="e">
        <f t="shared" si="3"/>
        <v>#REF!</v>
      </c>
      <c r="I27" s="297" t="e">
        <f>($I$12+$I$18*I21)*$R$2</f>
        <v>#REF!</v>
      </c>
      <c r="J27" t="e">
        <f t="shared" si="10"/>
        <v>#REF!</v>
      </c>
    </row>
    <row r="28" spans="1:12" ht="50.25" customHeight="1" x14ac:dyDescent="0.2">
      <c r="A28" s="312">
        <v>3</v>
      </c>
      <c r="B28" s="314" t="s">
        <v>231</v>
      </c>
      <c r="C28" s="116" t="s">
        <v>72</v>
      </c>
      <c r="D28" s="297" t="e">
        <f>($D$12+$D$18*D22)*$R$2</f>
        <v>#REF!</v>
      </c>
      <c r="E28" s="297" t="e">
        <f>($E$12+$E$18*E22)*$R$2</f>
        <v>#REF!</v>
      </c>
      <c r="F28" s="297" t="e">
        <f>($F$12+$F$18*F22)*$R$2</f>
        <v>#REF!</v>
      </c>
      <c r="G28" s="297" t="e">
        <f t="shared" si="2"/>
        <v>#REF!</v>
      </c>
      <c r="H28" s="298" t="e">
        <f t="shared" si="3"/>
        <v>#REF!</v>
      </c>
      <c r="I28" s="297" t="e">
        <f>($I$12+$I$18*I22)*$R$2</f>
        <v>#REF!</v>
      </c>
      <c r="J28" t="e">
        <f t="shared" si="10"/>
        <v>#REF!</v>
      </c>
    </row>
    <row r="29" spans="1:12" ht="88.5" customHeight="1" x14ac:dyDescent="0.2">
      <c r="A29" s="312">
        <v>4</v>
      </c>
      <c r="B29" s="286" t="s">
        <v>230</v>
      </c>
      <c r="C29" s="116" t="s">
        <v>72</v>
      </c>
      <c r="D29" s="297" t="e">
        <f t="shared" ref="D29:D30" si="11">($D$12+$D$18*D23)*$R$2</f>
        <v>#REF!</v>
      </c>
      <c r="E29" s="297" t="e">
        <f t="shared" ref="E29:E30" si="12">($E$12+$E$18*E23)*$R$2</f>
        <v>#REF!</v>
      </c>
      <c r="F29" s="297"/>
      <c r="G29" s="297"/>
      <c r="H29" s="298" t="e">
        <f t="shared" si="3"/>
        <v>#REF!</v>
      </c>
      <c r="I29" s="297" t="e">
        <f t="shared" ref="I29:I30" si="13">($I$12+$I$18*I23)*$R$2</f>
        <v>#REF!</v>
      </c>
      <c r="J29" t="e">
        <f>(D29*D10+E10*E29)/I10</f>
        <v>#REF!</v>
      </c>
    </row>
    <row r="30" spans="1:12" ht="89.25" customHeight="1" x14ac:dyDescent="0.2">
      <c r="A30" s="312">
        <v>5</v>
      </c>
      <c r="B30" s="286" t="s">
        <v>222</v>
      </c>
      <c r="C30" s="116" t="s">
        <v>72</v>
      </c>
      <c r="D30" s="297" t="e">
        <f t="shared" si="11"/>
        <v>#REF!</v>
      </c>
      <c r="E30" s="297" t="e">
        <f t="shared" si="12"/>
        <v>#REF!</v>
      </c>
      <c r="F30" s="297"/>
      <c r="G30" s="297"/>
      <c r="H30" s="298" t="e">
        <f t="shared" si="3"/>
        <v>#REF!</v>
      </c>
      <c r="I30" s="297" t="e">
        <f t="shared" si="13"/>
        <v>#REF!</v>
      </c>
      <c r="J30" t="e">
        <f>(D30*D11+E11*E30)/I11</f>
        <v>#REF!</v>
      </c>
    </row>
    <row r="31" spans="1:12" x14ac:dyDescent="0.2">
      <c r="A31" s="181"/>
      <c r="B31" s="182" t="s">
        <v>119</v>
      </c>
      <c r="C31" s="182"/>
      <c r="D31" s="181">
        <f>D32+D33+D34</f>
        <v>3</v>
      </c>
      <c r="E31" s="181">
        <f t="shared" ref="E31:I31" si="14">E32+E33+E34</f>
        <v>6</v>
      </c>
      <c r="F31" s="268"/>
      <c r="G31" s="266">
        <f t="shared" si="2"/>
        <v>0</v>
      </c>
      <c r="H31" s="115">
        <f t="shared" si="3"/>
        <v>200</v>
      </c>
      <c r="I31" s="181" t="e">
        <f t="shared" si="14"/>
        <v>#REF!</v>
      </c>
      <c r="J31">
        <v>1</v>
      </c>
      <c r="K31">
        <v>1</v>
      </c>
      <c r="L31">
        <v>1</v>
      </c>
    </row>
    <row r="32" spans="1:12" ht="78.75" x14ac:dyDescent="0.2">
      <c r="A32" s="312">
        <v>1</v>
      </c>
      <c r="B32" s="16" t="s">
        <v>199</v>
      </c>
      <c r="C32" s="182"/>
      <c r="D32" s="181">
        <f>D20</f>
        <v>1</v>
      </c>
      <c r="E32" s="181">
        <f t="shared" ref="E32:I36" si="15">E20</f>
        <v>2</v>
      </c>
      <c r="F32" s="268">
        <f>F20</f>
        <v>1.7</v>
      </c>
      <c r="G32" s="266">
        <f t="shared" si="2"/>
        <v>85</v>
      </c>
      <c r="H32" s="115">
        <f t="shared" si="3"/>
        <v>200</v>
      </c>
      <c r="I32" s="181" t="e">
        <f t="shared" si="15"/>
        <v>#REF!</v>
      </c>
      <c r="J32">
        <f>D32*J31/D31</f>
        <v>0.33333333333333331</v>
      </c>
      <c r="K32">
        <f>E32*K31/E31</f>
        <v>0.33333333333333331</v>
      </c>
      <c r="L32" t="e">
        <f t="shared" ref="L32" si="16">I32*L31/I31</f>
        <v>#REF!</v>
      </c>
    </row>
    <row r="33" spans="1:14" ht="78.75" x14ac:dyDescent="0.2">
      <c r="A33" s="312">
        <v>2</v>
      </c>
      <c r="B33" s="16" t="s">
        <v>200</v>
      </c>
      <c r="C33" s="182"/>
      <c r="D33" s="181">
        <f>D21</f>
        <v>1</v>
      </c>
      <c r="E33" s="181">
        <f t="shared" si="15"/>
        <v>2</v>
      </c>
      <c r="F33" s="268">
        <f>F21</f>
        <v>1.6</v>
      </c>
      <c r="G33" s="266">
        <f t="shared" si="2"/>
        <v>80</v>
      </c>
      <c r="H33" s="115">
        <f t="shared" si="3"/>
        <v>200</v>
      </c>
      <c r="I33" s="181" t="e">
        <f t="shared" si="15"/>
        <v>#REF!</v>
      </c>
      <c r="J33">
        <f>D33*J31/D31</f>
        <v>0.33333333333333331</v>
      </c>
      <c r="K33">
        <f>E33*K31/E31</f>
        <v>0.33333333333333331</v>
      </c>
      <c r="L33" t="e">
        <f t="shared" ref="L33" si="17">I33*L31/I31</f>
        <v>#REF!</v>
      </c>
    </row>
    <row r="34" spans="1:14" ht="78.75" x14ac:dyDescent="0.2">
      <c r="A34" s="312">
        <v>3</v>
      </c>
      <c r="B34" s="313" t="s">
        <v>231</v>
      </c>
      <c r="C34" s="182"/>
      <c r="D34" s="181">
        <f>D22</f>
        <v>1</v>
      </c>
      <c r="E34" s="181">
        <f t="shared" si="15"/>
        <v>2</v>
      </c>
      <c r="F34" s="268">
        <f>F22</f>
        <v>1.5</v>
      </c>
      <c r="G34" s="266">
        <f t="shared" si="2"/>
        <v>75</v>
      </c>
      <c r="H34" s="115">
        <f t="shared" si="3"/>
        <v>200</v>
      </c>
      <c r="I34" s="181" t="e">
        <f t="shared" si="15"/>
        <v>#REF!</v>
      </c>
      <c r="J34">
        <f>D34*J31/D31</f>
        <v>0.33333333333333331</v>
      </c>
      <c r="K34">
        <f>E34*K31/E31</f>
        <v>0.33333333333333331</v>
      </c>
      <c r="L34" t="e">
        <f t="shared" ref="L34" si="18">I34*L31/I31</f>
        <v>#REF!</v>
      </c>
    </row>
    <row r="35" spans="1:14" ht="78.75" x14ac:dyDescent="0.25">
      <c r="A35" s="312">
        <v>4</v>
      </c>
      <c r="B35" s="287" t="s">
        <v>230</v>
      </c>
      <c r="C35" s="293"/>
      <c r="D35" s="181">
        <f t="shared" ref="D35:D36" si="19">D23</f>
        <v>1</v>
      </c>
      <c r="E35" s="181">
        <f t="shared" si="15"/>
        <v>2</v>
      </c>
      <c r="F35" s="290"/>
      <c r="G35" s="290"/>
      <c r="H35" s="115">
        <f t="shared" si="3"/>
        <v>200</v>
      </c>
      <c r="I35" s="181" t="e">
        <f t="shared" si="15"/>
        <v>#REF!</v>
      </c>
    </row>
    <row r="36" spans="1:14" ht="78.75" x14ac:dyDescent="0.25">
      <c r="A36" s="312">
        <v>5</v>
      </c>
      <c r="B36" s="287" t="s">
        <v>222</v>
      </c>
      <c r="C36" s="293"/>
      <c r="D36" s="181">
        <f t="shared" si="19"/>
        <v>1</v>
      </c>
      <c r="E36" s="181">
        <f t="shared" si="15"/>
        <v>2</v>
      </c>
      <c r="F36" s="290"/>
      <c r="G36" s="290"/>
      <c r="H36" s="115">
        <f t="shared" si="3"/>
        <v>200</v>
      </c>
      <c r="I36" s="181" t="e">
        <f t="shared" si="15"/>
        <v>#REF!</v>
      </c>
    </row>
    <row r="37" spans="1:14" x14ac:dyDescent="0.2">
      <c r="A37" s="116"/>
      <c r="B37" s="116" t="s">
        <v>85</v>
      </c>
      <c r="C37" s="116" t="s">
        <v>65</v>
      </c>
      <c r="D37" s="174" t="e">
        <f>D38+D39+D40+D41+D42</f>
        <v>#REF!</v>
      </c>
      <c r="E37" s="174" t="e">
        <f t="shared" ref="E37:I37" si="20">E38+E39+E40+E41+E42</f>
        <v>#REF!</v>
      </c>
      <c r="F37" s="174" t="e">
        <f t="shared" si="20"/>
        <v>#REF!</v>
      </c>
      <c r="G37" s="174" t="e">
        <f t="shared" si="20"/>
        <v>#REF!</v>
      </c>
      <c r="H37" s="115" t="e">
        <f t="shared" si="3"/>
        <v>#REF!</v>
      </c>
      <c r="I37" s="174" t="e">
        <f t="shared" si="20"/>
        <v>#REF!</v>
      </c>
      <c r="J37" s="177" t="s">
        <v>181</v>
      </c>
      <c r="K37" s="177"/>
      <c r="L37" s="177"/>
      <c r="M37" s="177"/>
      <c r="N37" s="177"/>
    </row>
    <row r="38" spans="1:14" ht="78.75" x14ac:dyDescent="0.2">
      <c r="A38" s="312">
        <v>1</v>
      </c>
      <c r="B38" s="16" t="s">
        <v>199</v>
      </c>
      <c r="C38" s="116" t="s">
        <v>65</v>
      </c>
      <c r="D38" s="174" t="e">
        <f>D7*D32</f>
        <v>#REF!</v>
      </c>
      <c r="E38" s="174" t="e">
        <f t="shared" ref="E38:I38" si="21">E7*E32</f>
        <v>#REF!</v>
      </c>
      <c r="F38" s="270" t="e">
        <f t="shared" si="21"/>
        <v>#REF!</v>
      </c>
      <c r="G38" s="266" t="e">
        <f t="shared" si="2"/>
        <v>#REF!</v>
      </c>
      <c r="H38" s="115" t="e">
        <f t="shared" si="3"/>
        <v>#REF!</v>
      </c>
      <c r="I38" s="174" t="e">
        <f t="shared" si="21"/>
        <v>#REF!</v>
      </c>
    </row>
    <row r="39" spans="1:14" ht="78.75" x14ac:dyDescent="0.2">
      <c r="A39" s="312">
        <v>2</v>
      </c>
      <c r="B39" s="16" t="s">
        <v>200</v>
      </c>
      <c r="C39" s="116" t="s">
        <v>65</v>
      </c>
      <c r="D39" s="174" t="e">
        <f>D8*D33</f>
        <v>#REF!</v>
      </c>
      <c r="E39" s="174" t="e">
        <f>E8*E33</f>
        <v>#REF!</v>
      </c>
      <c r="F39" s="270" t="e">
        <f>F8*F33</f>
        <v>#REF!</v>
      </c>
      <c r="G39" s="266" t="e">
        <f t="shared" si="2"/>
        <v>#REF!</v>
      </c>
      <c r="H39" s="115" t="e">
        <f t="shared" si="3"/>
        <v>#REF!</v>
      </c>
      <c r="I39" s="174" t="e">
        <f>I8*I33</f>
        <v>#REF!</v>
      </c>
    </row>
    <row r="40" spans="1:14" ht="78.75" x14ac:dyDescent="0.2">
      <c r="A40" s="312">
        <v>3</v>
      </c>
      <c r="B40" s="313" t="s">
        <v>231</v>
      </c>
      <c r="C40" s="116" t="s">
        <v>65</v>
      </c>
      <c r="D40" s="174" t="e">
        <f>D9*D34</f>
        <v>#REF!</v>
      </c>
      <c r="E40" s="174" t="e">
        <f>E9*E34</f>
        <v>#REF!</v>
      </c>
      <c r="F40" s="270" t="e">
        <f>F9*F34</f>
        <v>#REF!</v>
      </c>
      <c r="G40" s="266" t="e">
        <f t="shared" si="2"/>
        <v>#REF!</v>
      </c>
      <c r="H40" s="115" t="e">
        <f t="shared" si="3"/>
        <v>#REF!</v>
      </c>
      <c r="I40" s="174" t="e">
        <f>I9*I34</f>
        <v>#REF!</v>
      </c>
    </row>
    <row r="41" spans="1:14" ht="78.75" x14ac:dyDescent="0.2">
      <c r="A41" s="312">
        <v>4</v>
      </c>
      <c r="B41" s="287" t="s">
        <v>230</v>
      </c>
      <c r="C41" s="116" t="s">
        <v>65</v>
      </c>
      <c r="D41" s="174" t="e">
        <f t="shared" ref="D41:E42" si="22">D10*D35</f>
        <v>#REF!</v>
      </c>
      <c r="E41" s="174" t="e">
        <f t="shared" si="22"/>
        <v>#REF!</v>
      </c>
      <c r="F41" s="270"/>
      <c r="G41" s="266"/>
      <c r="H41" s="115" t="e">
        <f t="shared" si="3"/>
        <v>#REF!</v>
      </c>
      <c r="I41" s="174" t="e">
        <f t="shared" ref="I41:I42" si="23">I10*I35</f>
        <v>#REF!</v>
      </c>
    </row>
    <row r="42" spans="1:14" ht="78.75" x14ac:dyDescent="0.2">
      <c r="A42" s="312">
        <v>5</v>
      </c>
      <c r="B42" s="287" t="s">
        <v>222</v>
      </c>
      <c r="C42" s="116" t="s">
        <v>65</v>
      </c>
      <c r="D42" s="174" t="e">
        <f t="shared" si="22"/>
        <v>#REF!</v>
      </c>
      <c r="E42" s="174" t="e">
        <f t="shared" si="22"/>
        <v>#REF!</v>
      </c>
      <c r="F42" s="270"/>
      <c r="G42" s="266"/>
      <c r="H42" s="115" t="e">
        <f t="shared" si="3"/>
        <v>#REF!</v>
      </c>
      <c r="I42" s="174" t="e">
        <f t="shared" si="23"/>
        <v>#REF!</v>
      </c>
    </row>
    <row r="43" spans="1:14" x14ac:dyDescent="0.2">
      <c r="A43" s="116"/>
      <c r="B43" s="116" t="s">
        <v>93</v>
      </c>
      <c r="C43" s="116" t="s">
        <v>65</v>
      </c>
      <c r="D43" s="116" t="e">
        <f>D37</f>
        <v>#REF!</v>
      </c>
      <c r="E43" s="116" t="e">
        <f t="shared" ref="E43:I43" si="24">E37</f>
        <v>#REF!</v>
      </c>
      <c r="F43" s="269" t="e">
        <f t="shared" si="24"/>
        <v>#REF!</v>
      </c>
      <c r="G43" s="266" t="e">
        <f t="shared" si="2"/>
        <v>#REF!</v>
      </c>
      <c r="H43" s="115" t="e">
        <f t="shared" si="3"/>
        <v>#REF!</v>
      </c>
      <c r="I43" s="116" t="e">
        <f t="shared" si="24"/>
        <v>#REF!</v>
      </c>
      <c r="K43" s="231" t="e">
        <f>(E32*E7+E33*E8+E34*E9)/E6</f>
        <v>#REF!</v>
      </c>
      <c r="L43" s="231" t="e">
        <f>K43*E6</f>
        <v>#REF!</v>
      </c>
    </row>
    <row r="44" spans="1:14" x14ac:dyDescent="0.2">
      <c r="A44" s="116"/>
      <c r="B44" s="112" t="s">
        <v>182</v>
      </c>
      <c r="C44" s="116" t="s">
        <v>72</v>
      </c>
      <c r="D44" s="116" t="e">
        <f>(D6*D15)/D43</f>
        <v>#REF!</v>
      </c>
      <c r="E44" s="116" t="e">
        <f t="shared" ref="E44:I44" si="25">(E6*E15)/E43</f>
        <v>#REF!</v>
      </c>
      <c r="F44" s="269" t="e">
        <f t="shared" si="25"/>
        <v>#REF!</v>
      </c>
      <c r="G44" s="266" t="e">
        <f t="shared" si="2"/>
        <v>#REF!</v>
      </c>
      <c r="H44" s="115" t="e">
        <f t="shared" si="3"/>
        <v>#REF!</v>
      </c>
      <c r="I44" s="116" t="e">
        <f t="shared" si="25"/>
        <v>#REF!</v>
      </c>
    </row>
    <row r="45" spans="1:14" x14ac:dyDescent="0.2">
      <c r="A45" s="116"/>
      <c r="B45" s="116" t="s">
        <v>97</v>
      </c>
      <c r="C45" s="116"/>
      <c r="D45" s="116"/>
      <c r="E45" s="116"/>
      <c r="F45" s="269"/>
      <c r="G45" s="266" t="e">
        <f t="shared" si="2"/>
        <v>#DIV/0!</v>
      </c>
      <c r="H45" s="115"/>
      <c r="I45" s="116"/>
    </row>
    <row r="46" spans="1:14" ht="78.75" x14ac:dyDescent="0.2">
      <c r="A46" s="312">
        <v>1</v>
      </c>
      <c r="B46" s="16" t="s">
        <v>199</v>
      </c>
      <c r="C46" s="116" t="s">
        <v>72</v>
      </c>
      <c r="D46" s="116" t="e">
        <f>$D$44*D32</f>
        <v>#REF!</v>
      </c>
      <c r="E46" s="116" t="e">
        <f>$E$44*E32</f>
        <v>#REF!</v>
      </c>
      <c r="F46" s="269" t="e">
        <f>$F$44*F32</f>
        <v>#REF!</v>
      </c>
      <c r="G46" s="266" t="e">
        <f t="shared" si="2"/>
        <v>#REF!</v>
      </c>
      <c r="H46" s="115" t="e">
        <f t="shared" si="3"/>
        <v>#REF!</v>
      </c>
      <c r="I46" s="116" t="e">
        <f>$I$44*I32</f>
        <v>#REF!</v>
      </c>
    </row>
    <row r="47" spans="1:14" ht="78.75" x14ac:dyDescent="0.2">
      <c r="A47" s="312">
        <v>2</v>
      </c>
      <c r="B47" s="16" t="s">
        <v>200</v>
      </c>
      <c r="C47" s="116" t="s">
        <v>72</v>
      </c>
      <c r="D47" s="116" t="e">
        <f t="shared" ref="D47:D50" si="26">$D$44*D33</f>
        <v>#REF!</v>
      </c>
      <c r="E47" s="116" t="e">
        <f t="shared" ref="E47" si="27">$E$44*E33</f>
        <v>#REF!</v>
      </c>
      <c r="F47" s="269" t="e">
        <f t="shared" ref="F47:F48" si="28">$F$44*F33</f>
        <v>#REF!</v>
      </c>
      <c r="G47" s="266" t="e">
        <f t="shared" si="2"/>
        <v>#REF!</v>
      </c>
      <c r="H47" s="115" t="e">
        <f t="shared" si="3"/>
        <v>#REF!</v>
      </c>
      <c r="I47" s="116" t="e">
        <f t="shared" ref="I47:I50" si="29">$I$44*I33</f>
        <v>#REF!</v>
      </c>
    </row>
    <row r="48" spans="1:14" ht="78.75" x14ac:dyDescent="0.2">
      <c r="A48" s="312">
        <v>3</v>
      </c>
      <c r="B48" s="313" t="s">
        <v>231</v>
      </c>
      <c r="C48" s="116" t="s">
        <v>72</v>
      </c>
      <c r="D48" s="116" t="e">
        <f t="shared" si="26"/>
        <v>#REF!</v>
      </c>
      <c r="E48" s="116" t="e">
        <f>$E$44*E34</f>
        <v>#REF!</v>
      </c>
      <c r="F48" s="269" t="e">
        <f t="shared" si="28"/>
        <v>#REF!</v>
      </c>
      <c r="G48" s="266" t="e">
        <f t="shared" si="2"/>
        <v>#REF!</v>
      </c>
      <c r="H48" s="115" t="e">
        <f t="shared" si="3"/>
        <v>#REF!</v>
      </c>
      <c r="I48" s="116" t="e">
        <f t="shared" si="29"/>
        <v>#REF!</v>
      </c>
    </row>
    <row r="49" spans="1:11" ht="78.75" x14ac:dyDescent="0.2">
      <c r="A49" s="312">
        <v>4</v>
      </c>
      <c r="B49" s="287" t="s">
        <v>230</v>
      </c>
      <c r="C49" s="116" t="s">
        <v>72</v>
      </c>
      <c r="D49" s="116" t="e">
        <f t="shared" si="26"/>
        <v>#REF!</v>
      </c>
      <c r="E49" s="116" t="e">
        <f t="shared" ref="E49:E50" si="30">$E$44*E35</f>
        <v>#REF!</v>
      </c>
      <c r="F49" s="269"/>
      <c r="G49" s="266"/>
      <c r="H49" s="115" t="e">
        <f t="shared" si="3"/>
        <v>#REF!</v>
      </c>
      <c r="I49" s="116" t="e">
        <f t="shared" si="29"/>
        <v>#REF!</v>
      </c>
    </row>
    <row r="50" spans="1:11" ht="78.75" x14ac:dyDescent="0.2">
      <c r="A50" s="312">
        <v>5</v>
      </c>
      <c r="B50" s="287" t="s">
        <v>222</v>
      </c>
      <c r="C50" s="116" t="s">
        <v>72</v>
      </c>
      <c r="D50" s="116" t="e">
        <f t="shared" si="26"/>
        <v>#REF!</v>
      </c>
      <c r="E50" s="116" t="e">
        <f t="shared" si="30"/>
        <v>#REF!</v>
      </c>
      <c r="F50" s="269"/>
      <c r="G50" s="266"/>
      <c r="H50" s="115" t="e">
        <f t="shared" si="3"/>
        <v>#REF!</v>
      </c>
      <c r="I50" s="116" t="e">
        <f t="shared" si="29"/>
        <v>#REF!</v>
      </c>
    </row>
    <row r="51" spans="1:11" s="245" customFormat="1" x14ac:dyDescent="0.2">
      <c r="F51" s="264"/>
      <c r="G51" s="264"/>
    </row>
    <row r="52" spans="1:11" ht="15.75" x14ac:dyDescent="0.2">
      <c r="B52" s="252" t="s">
        <v>205</v>
      </c>
      <c r="C52" s="253"/>
      <c r="D52" s="254"/>
      <c r="E52" s="254"/>
      <c r="F52" s="271"/>
      <c r="G52" s="271"/>
      <c r="H52" s="254"/>
      <c r="I52" s="254"/>
    </row>
    <row r="53" spans="1:11" ht="78.75" x14ac:dyDescent="0.2">
      <c r="B53" s="255" t="s">
        <v>199</v>
      </c>
      <c r="C53" s="256" t="s">
        <v>57</v>
      </c>
      <c r="D53" s="257" t="e">
        <f>D46*D7</f>
        <v>#REF!</v>
      </c>
      <c r="E53" s="257" t="e">
        <f t="shared" ref="E53:I53" si="31">E46*E7</f>
        <v>#REF!</v>
      </c>
      <c r="F53" s="272"/>
      <c r="G53" s="272"/>
      <c r="H53" s="258"/>
      <c r="I53" s="257" t="e">
        <f t="shared" si="31"/>
        <v>#REF!</v>
      </c>
      <c r="J53" s="218" t="s">
        <v>209</v>
      </c>
    </row>
    <row r="54" spans="1:11" ht="78.75" x14ac:dyDescent="0.2">
      <c r="B54" s="255" t="s">
        <v>200</v>
      </c>
      <c r="C54" s="256" t="s">
        <v>57</v>
      </c>
      <c r="D54" s="257" t="e">
        <f>D47*D8</f>
        <v>#REF!</v>
      </c>
      <c r="E54" s="257" t="e">
        <f>E47*E8</f>
        <v>#REF!</v>
      </c>
      <c r="F54" s="272"/>
      <c r="G54" s="272"/>
      <c r="H54" s="258"/>
      <c r="I54" s="257" t="e">
        <f>I47*I8</f>
        <v>#REF!</v>
      </c>
      <c r="J54" s="262" t="e">
        <f>(E53+C60)*R2*E32</f>
        <v>#REF!</v>
      </c>
      <c r="K54" s="176" t="e">
        <f>J54*R2</f>
        <v>#REF!</v>
      </c>
    </row>
    <row r="55" spans="1:11" ht="47.25" x14ac:dyDescent="0.2">
      <c r="B55" s="255" t="s">
        <v>202</v>
      </c>
      <c r="C55" s="256" t="s">
        <v>57</v>
      </c>
      <c r="D55" s="257" t="e">
        <f>D48*D9</f>
        <v>#REF!</v>
      </c>
      <c r="E55" s="257" t="e">
        <f>E48*E9</f>
        <v>#REF!</v>
      </c>
      <c r="F55" s="272"/>
      <c r="G55" s="272"/>
      <c r="H55" s="258"/>
      <c r="I55" s="257" t="e">
        <f>I48*I9</f>
        <v>#REF!</v>
      </c>
      <c r="J55" s="262" t="e">
        <f>R2*(E7*(C60+(E44*E32)))</f>
        <v>#REF!</v>
      </c>
      <c r="K55" s="176"/>
    </row>
    <row r="56" spans="1:11" ht="15.75" x14ac:dyDescent="0.2">
      <c r="B56" s="259" t="s">
        <v>106</v>
      </c>
      <c r="C56" s="256" t="s">
        <v>57</v>
      </c>
      <c r="D56" s="260" t="e">
        <f>D53+D54+D55</f>
        <v>#REF!</v>
      </c>
      <c r="E56" s="260" t="e">
        <f t="shared" ref="E56:I56" si="32">E53+E54+E55</f>
        <v>#REF!</v>
      </c>
      <c r="F56" s="273"/>
      <c r="G56" s="273"/>
      <c r="H56" s="261"/>
      <c r="I56" s="260" t="e">
        <f t="shared" si="32"/>
        <v>#REF!</v>
      </c>
    </row>
    <row r="57" spans="1:11" ht="15.75" x14ac:dyDescent="0.2">
      <c r="A57" s="185"/>
      <c r="B57" s="95"/>
      <c r="C57" s="105"/>
      <c r="D57" s="186"/>
      <c r="E57" s="186"/>
      <c r="F57" s="274"/>
      <c r="G57" s="274"/>
      <c r="H57" s="186"/>
      <c r="I57" s="186"/>
      <c r="J57" s="54"/>
    </row>
    <row r="58" spans="1:11" ht="15.75" x14ac:dyDescent="0.2">
      <c r="B58" s="188" t="s">
        <v>134</v>
      </c>
      <c r="C58" s="100" t="s">
        <v>107</v>
      </c>
      <c r="D58" s="192" t="s">
        <v>108</v>
      </c>
      <c r="E58" s="192" t="s">
        <v>33</v>
      </c>
      <c r="F58" s="275"/>
      <c r="G58" s="275"/>
      <c r="H58" s="217"/>
      <c r="I58" s="220" t="s">
        <v>194</v>
      </c>
      <c r="J58" s="228" t="s">
        <v>197</v>
      </c>
      <c r="K58" s="229" t="s">
        <v>195</v>
      </c>
    </row>
    <row r="59" spans="1:11" ht="15.75" x14ac:dyDescent="0.2">
      <c r="B59" s="99" t="s">
        <v>109</v>
      </c>
      <c r="C59" s="701" t="s">
        <v>190</v>
      </c>
      <c r="D59" s="701"/>
      <c r="E59" s="701"/>
      <c r="F59" s="276"/>
      <c r="G59" s="276"/>
      <c r="H59" s="221"/>
      <c r="I59" s="57"/>
      <c r="J59" s="57"/>
      <c r="K59" s="116"/>
    </row>
    <row r="60" spans="1:11" ht="78.75" x14ac:dyDescent="0.2">
      <c r="A60" s="312">
        <v>1</v>
      </c>
      <c r="B60" s="16" t="s">
        <v>199</v>
      </c>
      <c r="C60" s="190">
        <f>D12</f>
        <v>3206</v>
      </c>
      <c r="D60" s="191" t="e">
        <f>C60+D46</f>
        <v>#REF!</v>
      </c>
      <c r="E60" s="191" t="e">
        <f>D60*D7</f>
        <v>#REF!</v>
      </c>
      <c r="F60" s="277"/>
      <c r="G60" s="277"/>
      <c r="H60" s="222"/>
      <c r="I60" s="223" t="e">
        <f>D60*$R$2</f>
        <v>#REF!</v>
      </c>
      <c r="J60" s="224" t="e">
        <f>I60*D7</f>
        <v>#REF!</v>
      </c>
      <c r="K60" s="116"/>
    </row>
    <row r="61" spans="1:11" ht="78.75" x14ac:dyDescent="0.2">
      <c r="A61" s="312">
        <v>2</v>
      </c>
      <c r="B61" s="16" t="s">
        <v>200</v>
      </c>
      <c r="C61" s="192">
        <f>C60</f>
        <v>3206</v>
      </c>
      <c r="D61" s="191" t="e">
        <f>C61+D47</f>
        <v>#REF!</v>
      </c>
      <c r="E61" s="191" t="e">
        <f>D61*D8</f>
        <v>#REF!</v>
      </c>
      <c r="F61" s="277"/>
      <c r="G61" s="277"/>
      <c r="H61" s="222"/>
      <c r="I61" s="223" t="e">
        <f t="shared" ref="I61:I83" si="33">D61*$R$2</f>
        <v>#REF!</v>
      </c>
      <c r="J61" s="224" t="e">
        <f>I61*D8</f>
        <v>#REF!</v>
      </c>
      <c r="K61" s="116"/>
    </row>
    <row r="62" spans="1:11" ht="78.75" x14ac:dyDescent="0.2">
      <c r="A62" s="312">
        <v>3</v>
      </c>
      <c r="B62" s="313" t="s">
        <v>231</v>
      </c>
      <c r="C62" s="192">
        <f>C61</f>
        <v>3206</v>
      </c>
      <c r="D62" s="191" t="e">
        <f>C62+D48</f>
        <v>#REF!</v>
      </c>
      <c r="E62" s="191" t="e">
        <f>D62*D9</f>
        <v>#REF!</v>
      </c>
      <c r="F62" s="277"/>
      <c r="G62" s="277"/>
      <c r="H62" s="222"/>
      <c r="I62" s="223" t="e">
        <f t="shared" si="33"/>
        <v>#REF!</v>
      </c>
      <c r="J62" s="224" t="e">
        <f>I62*D9</f>
        <v>#REF!</v>
      </c>
      <c r="K62" s="116"/>
    </row>
    <row r="63" spans="1:11" ht="78.75" x14ac:dyDescent="0.2">
      <c r="A63" s="312">
        <v>4</v>
      </c>
      <c r="B63" s="287" t="s">
        <v>230</v>
      </c>
      <c r="C63" s="192">
        <f t="shared" ref="C63:C64" si="34">C62</f>
        <v>3206</v>
      </c>
      <c r="D63" s="191" t="e">
        <f t="shared" ref="D63:D64" si="35">C63+D49</f>
        <v>#REF!</v>
      </c>
      <c r="E63" s="191" t="e">
        <f t="shared" ref="E63:E64" si="36">D63*D10</f>
        <v>#REF!</v>
      </c>
      <c r="F63" s="277"/>
      <c r="G63" s="277"/>
      <c r="H63" s="222"/>
      <c r="I63" s="223" t="e">
        <f t="shared" si="33"/>
        <v>#REF!</v>
      </c>
      <c r="J63" s="224" t="e">
        <f t="shared" ref="J63:J64" si="37">I63*D10</f>
        <v>#REF!</v>
      </c>
      <c r="K63" s="116"/>
    </row>
    <row r="64" spans="1:11" ht="78.75" x14ac:dyDescent="0.2">
      <c r="A64" s="312">
        <v>5</v>
      </c>
      <c r="B64" s="287" t="s">
        <v>222</v>
      </c>
      <c r="C64" s="192">
        <f t="shared" si="34"/>
        <v>3206</v>
      </c>
      <c r="D64" s="191" t="e">
        <f t="shared" si="35"/>
        <v>#REF!</v>
      </c>
      <c r="E64" s="191" t="e">
        <f t="shared" si="36"/>
        <v>#REF!</v>
      </c>
      <c r="F64" s="277"/>
      <c r="G64" s="277"/>
      <c r="H64" s="222"/>
      <c r="I64" s="223" t="e">
        <f t="shared" si="33"/>
        <v>#REF!</v>
      </c>
      <c r="J64" s="224" t="e">
        <f t="shared" si="37"/>
        <v>#REF!</v>
      </c>
      <c r="K64" s="116"/>
    </row>
    <row r="65" spans="1:13" x14ac:dyDescent="0.2">
      <c r="B65" s="57" t="s">
        <v>106</v>
      </c>
      <c r="C65" s="192"/>
      <c r="D65" s="57"/>
      <c r="E65" s="191" t="e">
        <f>E60+E61+E62+E63+E64</f>
        <v>#REF!</v>
      </c>
      <c r="F65" s="277"/>
      <c r="G65" s="277"/>
      <c r="H65" s="222"/>
      <c r="I65" s="223"/>
      <c r="J65" s="225" t="e">
        <f>J60+J61+J62+J63+J64</f>
        <v>#REF!</v>
      </c>
      <c r="K65" s="115">
        <f>'прил к эксп 3'!N19</f>
        <v>1205249.2682999996</v>
      </c>
    </row>
    <row r="66" spans="1:13" ht="15.75" x14ac:dyDescent="0.2">
      <c r="B66" s="99" t="s">
        <v>109</v>
      </c>
      <c r="C66" s="699" t="s">
        <v>191</v>
      </c>
      <c r="D66" s="699"/>
      <c r="E66" s="699"/>
      <c r="F66" s="278"/>
      <c r="G66" s="278"/>
      <c r="H66" s="226"/>
      <c r="I66" s="223"/>
      <c r="J66" s="116"/>
      <c r="K66" s="116"/>
    </row>
    <row r="67" spans="1:13" ht="78.75" x14ac:dyDescent="0.2">
      <c r="A67" s="312">
        <v>1</v>
      </c>
      <c r="B67" s="16" t="s">
        <v>199</v>
      </c>
      <c r="C67" s="115">
        <f>'прил к эксп 3'!P11</f>
        <v>3331</v>
      </c>
      <c r="D67" s="115" t="e">
        <f>C67+E46</f>
        <v>#REF!</v>
      </c>
      <c r="E67" s="116" t="e">
        <f>D67*E7</f>
        <v>#REF!</v>
      </c>
      <c r="F67" s="269"/>
      <c r="G67" s="269"/>
      <c r="H67" s="227"/>
      <c r="I67" s="223" t="e">
        <f t="shared" si="33"/>
        <v>#REF!</v>
      </c>
      <c r="J67" s="116" t="e">
        <f>I67*E7</f>
        <v>#REF!</v>
      </c>
      <c r="K67" s="116"/>
      <c r="L67" t="e">
        <f>D67*R2*E6</f>
        <v>#REF!</v>
      </c>
      <c r="M67" t="e">
        <f>E67*R2</f>
        <v>#REF!</v>
      </c>
    </row>
    <row r="68" spans="1:13" ht="78.75" x14ac:dyDescent="0.2">
      <c r="A68" s="312">
        <v>2</v>
      </c>
      <c r="B68" s="16" t="s">
        <v>200</v>
      </c>
      <c r="C68" s="115">
        <f>C67</f>
        <v>3331</v>
      </c>
      <c r="D68" s="115" t="e">
        <f>C68+E47</f>
        <v>#REF!</v>
      </c>
      <c r="E68" s="116" t="e">
        <f>D68*E8</f>
        <v>#REF!</v>
      </c>
      <c r="F68" s="269"/>
      <c r="G68" s="269"/>
      <c r="H68" s="227"/>
      <c r="I68" s="223" t="e">
        <f t="shared" si="33"/>
        <v>#REF!</v>
      </c>
      <c r="J68" s="116" t="e">
        <f>I68*E8</f>
        <v>#REF!</v>
      </c>
      <c r="K68" s="116"/>
    </row>
    <row r="69" spans="1:13" ht="78.75" x14ac:dyDescent="0.2">
      <c r="A69" s="312">
        <v>3</v>
      </c>
      <c r="B69" s="313" t="s">
        <v>231</v>
      </c>
      <c r="C69" s="115">
        <f>C68</f>
        <v>3331</v>
      </c>
      <c r="D69" s="115" t="e">
        <f>C69+E48</f>
        <v>#REF!</v>
      </c>
      <c r="E69" s="116" t="e">
        <f>D69*E9</f>
        <v>#REF!</v>
      </c>
      <c r="F69" s="269"/>
      <c r="G69" s="269"/>
      <c r="H69" s="227"/>
      <c r="I69" s="223" t="e">
        <f t="shared" si="33"/>
        <v>#REF!</v>
      </c>
      <c r="J69" s="116" t="e">
        <f>I69*E9</f>
        <v>#REF!</v>
      </c>
      <c r="K69" s="116"/>
    </row>
    <row r="70" spans="1:13" ht="78.75" x14ac:dyDescent="0.2">
      <c r="A70" s="312">
        <v>4</v>
      </c>
      <c r="B70" s="287" t="s">
        <v>230</v>
      </c>
      <c r="C70" s="115">
        <f t="shared" ref="C70:C71" si="38">C69</f>
        <v>3331</v>
      </c>
      <c r="D70" s="115" t="e">
        <f t="shared" ref="D70:D71" si="39">C70+E49</f>
        <v>#REF!</v>
      </c>
      <c r="E70" s="116" t="e">
        <f t="shared" ref="E70:E71" si="40">D70*E10</f>
        <v>#REF!</v>
      </c>
      <c r="F70" s="269"/>
      <c r="G70" s="269"/>
      <c r="H70" s="227"/>
      <c r="I70" s="223" t="e">
        <f t="shared" si="33"/>
        <v>#REF!</v>
      </c>
      <c r="J70" s="116" t="e">
        <f t="shared" ref="J70:J71" si="41">I70*E10</f>
        <v>#REF!</v>
      </c>
      <c r="K70" s="116"/>
    </row>
    <row r="71" spans="1:13" ht="78.75" x14ac:dyDescent="0.2">
      <c r="A71" s="312">
        <v>5</v>
      </c>
      <c r="B71" s="287" t="s">
        <v>222</v>
      </c>
      <c r="C71" s="115">
        <f t="shared" si="38"/>
        <v>3331</v>
      </c>
      <c r="D71" s="115" t="e">
        <f t="shared" si="39"/>
        <v>#REF!</v>
      </c>
      <c r="E71" s="116" t="e">
        <f t="shared" si="40"/>
        <v>#REF!</v>
      </c>
      <c r="F71" s="269"/>
      <c r="G71" s="269"/>
      <c r="H71" s="227"/>
      <c r="I71" s="223" t="e">
        <f t="shared" si="33"/>
        <v>#REF!</v>
      </c>
      <c r="J71" s="116" t="e">
        <f t="shared" si="41"/>
        <v>#REF!</v>
      </c>
      <c r="K71" s="116"/>
    </row>
    <row r="72" spans="1:13" x14ac:dyDescent="0.2">
      <c r="B72" s="57" t="s">
        <v>106</v>
      </c>
      <c r="C72" s="116"/>
      <c r="D72" s="116"/>
      <c r="E72" s="116" t="e">
        <f>E67+E68+E69+E70+E71</f>
        <v>#REF!</v>
      </c>
      <c r="F72" s="269"/>
      <c r="G72" s="269"/>
      <c r="H72" s="219"/>
      <c r="I72" s="223"/>
      <c r="J72" s="116" t="e">
        <f>J67+J68+J69+J70+J71</f>
        <v>#REF!</v>
      </c>
      <c r="K72" s="115">
        <f>'прил к эксп 3'!P19</f>
        <v>900650.26329999976</v>
      </c>
    </row>
    <row r="73" spans="1:13" x14ac:dyDescent="0.2">
      <c r="B73" s="57" t="s">
        <v>198</v>
      </c>
      <c r="C73" s="232">
        <f>C67/C60*100</f>
        <v>103.89893948845913</v>
      </c>
      <c r="D73" s="116"/>
      <c r="E73" s="116"/>
      <c r="F73" s="269"/>
      <c r="G73" s="269"/>
      <c r="H73" s="219"/>
      <c r="I73" s="233" t="e">
        <f>I67/I60*100</f>
        <v>#REF!</v>
      </c>
      <c r="J73" s="116"/>
      <c r="K73" s="115"/>
    </row>
    <row r="74" spans="1:13" x14ac:dyDescent="0.2">
      <c r="B74" s="57"/>
      <c r="C74" s="232">
        <f>C68/C61*100</f>
        <v>103.89893948845913</v>
      </c>
      <c r="D74" s="116"/>
      <c r="E74" s="116"/>
      <c r="F74" s="269"/>
      <c r="G74" s="269"/>
      <c r="H74" s="219"/>
      <c r="I74" s="233" t="e">
        <f>I68/I61*100</f>
        <v>#REF!</v>
      </c>
      <c r="J74" s="116"/>
      <c r="K74" s="115"/>
    </row>
    <row r="75" spans="1:13" x14ac:dyDescent="0.2">
      <c r="B75" s="57"/>
      <c r="C75" s="232">
        <f>C69/C62*100</f>
        <v>103.89893948845913</v>
      </c>
      <c r="D75" s="116"/>
      <c r="E75" s="116"/>
      <c r="F75" s="269"/>
      <c r="G75" s="269"/>
      <c r="H75" s="219"/>
      <c r="I75" s="233" t="e">
        <f>I69/I62*100</f>
        <v>#REF!</v>
      </c>
      <c r="J75" s="116"/>
      <c r="K75" s="115"/>
    </row>
    <row r="76" spans="1:13" x14ac:dyDescent="0.2">
      <c r="B76" s="57"/>
      <c r="C76" s="232"/>
      <c r="D76" s="116"/>
      <c r="E76" s="116"/>
      <c r="F76" s="269"/>
      <c r="G76" s="269"/>
      <c r="H76" s="219"/>
      <c r="I76" s="233" t="e">
        <f>I70/I63*100</f>
        <v>#REF!</v>
      </c>
      <c r="J76" s="116"/>
      <c r="K76" s="115"/>
    </row>
    <row r="77" spans="1:13" x14ac:dyDescent="0.2">
      <c r="B77" s="57"/>
      <c r="C77" s="232"/>
      <c r="D77" s="116"/>
      <c r="E77" s="116"/>
      <c r="F77" s="269"/>
      <c r="G77" s="269"/>
      <c r="H77" s="219"/>
      <c r="I77" s="233" t="e">
        <f>I71/I64*100</f>
        <v>#REF!</v>
      </c>
      <c r="J77" s="116"/>
      <c r="K77" s="115"/>
    </row>
    <row r="78" spans="1:13" ht="15.75" x14ac:dyDescent="0.2">
      <c r="B78" s="99" t="s">
        <v>109</v>
      </c>
      <c r="C78" s="699" t="s">
        <v>192</v>
      </c>
      <c r="D78" s="699"/>
      <c r="E78" s="699"/>
      <c r="F78" s="278"/>
      <c r="G78" s="278"/>
      <c r="H78" s="307"/>
      <c r="I78" s="223"/>
      <c r="J78" s="116"/>
      <c r="K78" s="116"/>
    </row>
    <row r="79" spans="1:13" ht="78.75" x14ac:dyDescent="0.2">
      <c r="A79" s="312">
        <v>1</v>
      </c>
      <c r="B79" s="16" t="s">
        <v>199</v>
      </c>
      <c r="C79" s="194">
        <f>'прил к эксп 3'!R11</f>
        <v>3258.2590361445782</v>
      </c>
      <c r="D79" s="194" t="e">
        <f>C79+I46</f>
        <v>#REF!</v>
      </c>
      <c r="E79" s="174" t="e">
        <f>D79*I7</f>
        <v>#REF!</v>
      </c>
      <c r="F79" s="270"/>
      <c r="G79" s="270"/>
      <c r="H79" s="174"/>
      <c r="I79" s="223" t="e">
        <f t="shared" si="33"/>
        <v>#REF!</v>
      </c>
      <c r="J79" s="116" t="e">
        <f>I79*I7</f>
        <v>#REF!</v>
      </c>
      <c r="K79" s="116"/>
    </row>
    <row r="80" spans="1:13" ht="78.75" x14ac:dyDescent="0.2">
      <c r="A80" s="312">
        <v>2</v>
      </c>
      <c r="B80" s="16" t="s">
        <v>200</v>
      </c>
      <c r="C80" s="194">
        <f>C79</f>
        <v>3258.2590361445782</v>
      </c>
      <c r="D80" s="194" t="e">
        <f>C80+I47</f>
        <v>#REF!</v>
      </c>
      <c r="E80" s="174" t="e">
        <f>D80*I8</f>
        <v>#REF!</v>
      </c>
      <c r="F80" s="270"/>
      <c r="G80" s="270"/>
      <c r="H80" s="174"/>
      <c r="I80" s="223" t="e">
        <f t="shared" si="33"/>
        <v>#REF!</v>
      </c>
      <c r="J80" s="116" t="e">
        <f>I80*I8</f>
        <v>#REF!</v>
      </c>
      <c r="K80" s="116"/>
    </row>
    <row r="81" spans="1:12" ht="78.75" x14ac:dyDescent="0.2">
      <c r="A81" s="312">
        <v>3</v>
      </c>
      <c r="B81" s="313" t="s">
        <v>231</v>
      </c>
      <c r="C81" s="194">
        <f>C80</f>
        <v>3258.2590361445782</v>
      </c>
      <c r="D81" s="194" t="e">
        <f>C81+I48</f>
        <v>#REF!</v>
      </c>
      <c r="E81" s="174" t="e">
        <f>D81*I9</f>
        <v>#REF!</v>
      </c>
      <c r="F81" s="270"/>
      <c r="G81" s="270"/>
      <c r="H81" s="174"/>
      <c r="I81" s="223" t="e">
        <f t="shared" si="33"/>
        <v>#REF!</v>
      </c>
      <c r="J81" s="116" t="e">
        <f>I81*I9</f>
        <v>#REF!</v>
      </c>
      <c r="K81" s="116"/>
    </row>
    <row r="82" spans="1:12" ht="78.75" x14ac:dyDescent="0.2">
      <c r="A82" s="312">
        <v>4</v>
      </c>
      <c r="B82" s="287" t="s">
        <v>230</v>
      </c>
      <c r="C82" s="194">
        <f t="shared" ref="C82:C83" si="42">C81</f>
        <v>3258.2590361445782</v>
      </c>
      <c r="D82" s="194" t="e">
        <f>C82+I49</f>
        <v>#REF!</v>
      </c>
      <c r="E82" s="174" t="e">
        <f>D82*I10</f>
        <v>#REF!</v>
      </c>
      <c r="F82" s="270"/>
      <c r="G82" s="270"/>
      <c r="H82" s="174"/>
      <c r="I82" s="223" t="e">
        <f t="shared" si="33"/>
        <v>#REF!</v>
      </c>
      <c r="J82" s="116" t="e">
        <f>I82*I10</f>
        <v>#REF!</v>
      </c>
      <c r="K82" s="116"/>
    </row>
    <row r="83" spans="1:12" ht="78.75" x14ac:dyDescent="0.2">
      <c r="A83" s="312">
        <v>5</v>
      </c>
      <c r="B83" s="287" t="s">
        <v>222</v>
      </c>
      <c r="C83" s="194">
        <f t="shared" si="42"/>
        <v>3258.2590361445782</v>
      </c>
      <c r="D83" s="194" t="e">
        <f>C83+I50</f>
        <v>#REF!</v>
      </c>
      <c r="E83" s="174" t="e">
        <f>D83*I11</f>
        <v>#REF!</v>
      </c>
      <c r="F83" s="270"/>
      <c r="G83" s="270"/>
      <c r="H83" s="174"/>
      <c r="I83" s="223" t="e">
        <f t="shared" si="33"/>
        <v>#REF!</v>
      </c>
      <c r="J83" s="116" t="e">
        <f>I83*I11</f>
        <v>#REF!</v>
      </c>
      <c r="K83" s="116"/>
    </row>
    <row r="84" spans="1:12" x14ac:dyDescent="0.2">
      <c r="B84" s="57" t="s">
        <v>106</v>
      </c>
      <c r="C84" s="174"/>
      <c r="D84" s="174"/>
      <c r="E84" s="174" t="e">
        <f>E79+E80+E81+E82+E83</f>
        <v>#REF!</v>
      </c>
      <c r="F84" s="270"/>
      <c r="G84" s="270"/>
      <c r="H84" s="174"/>
      <c r="I84" s="197" t="e">
        <f>I79/'прил к эксп 3'!M27*100</f>
        <v>#REF!</v>
      </c>
      <c r="J84" s="116" t="e">
        <f>J79+J80+J81+J82+J83</f>
        <v>#REF!</v>
      </c>
      <c r="K84" s="115">
        <f>'прил к эксп 3'!R19</f>
        <v>2105899.5316000003</v>
      </c>
      <c r="L84" t="e">
        <f>E84*1.18</f>
        <v>#REF!</v>
      </c>
    </row>
    <row r="85" spans="1:12" x14ac:dyDescent="0.2">
      <c r="B85" s="57" t="s">
        <v>198</v>
      </c>
      <c r="C85" s="174"/>
      <c r="D85" s="174"/>
      <c r="E85" s="174"/>
      <c r="F85" s="270"/>
      <c r="G85" s="270"/>
      <c r="H85" s="174"/>
      <c r="I85" s="197" t="e">
        <f>I80/'прил к эксп 3'!M28*100</f>
        <v>#REF!</v>
      </c>
      <c r="J85" s="116"/>
      <c r="K85" s="115"/>
    </row>
    <row r="86" spans="1:12" x14ac:dyDescent="0.2">
      <c r="B86" s="57"/>
      <c r="C86" s="174"/>
      <c r="D86" s="174"/>
      <c r="E86" s="174"/>
      <c r="F86" s="270"/>
      <c r="G86" s="270"/>
      <c r="H86" s="174"/>
      <c r="I86" s="197" t="e">
        <f>I81/'прил к эксп 3'!M26*100</f>
        <v>#REF!</v>
      </c>
      <c r="J86" s="116"/>
      <c r="K86" s="115"/>
    </row>
    <row r="87" spans="1:12" x14ac:dyDescent="0.2">
      <c r="B87" s="57"/>
      <c r="C87" s="174"/>
      <c r="D87" s="174"/>
      <c r="E87" s="174"/>
      <c r="F87" s="270"/>
      <c r="G87" s="270"/>
      <c r="H87" s="174"/>
      <c r="I87" s="113" t="e">
        <f>I82/'прил к эксп 3'!M27*100</f>
        <v>#REF!</v>
      </c>
      <c r="J87" s="116"/>
      <c r="K87" s="115"/>
    </row>
    <row r="88" spans="1:12" x14ac:dyDescent="0.2">
      <c r="B88" s="57"/>
      <c r="C88" s="174"/>
      <c r="D88" s="174"/>
      <c r="E88" s="174"/>
      <c r="F88" s="270"/>
      <c r="G88" s="270"/>
      <c r="H88" s="174"/>
      <c r="I88" s="197" t="e">
        <f>I83/'прил к эксп 3'!M28*100</f>
        <v>#REF!</v>
      </c>
      <c r="J88" s="116"/>
      <c r="K88" s="115"/>
    </row>
    <row r="89" spans="1:12" x14ac:dyDescent="0.2">
      <c r="C89" s="176"/>
      <c r="D89" s="176"/>
      <c r="E89" s="195" t="e">
        <f>E65+E72</f>
        <v>#REF!</v>
      </c>
      <c r="F89" s="279"/>
      <c r="G89" s="279"/>
      <c r="H89" s="195"/>
      <c r="I89" s="196" t="s">
        <v>193</v>
      </c>
      <c r="L89" s="230" t="e">
        <f>J72+J65</f>
        <v>#REF!</v>
      </c>
    </row>
  </sheetData>
  <mergeCells count="6">
    <mergeCell ref="C78:E78"/>
    <mergeCell ref="H1:I1"/>
    <mergeCell ref="A2:I2"/>
    <mergeCell ref="D3:I3"/>
    <mergeCell ref="C59:E59"/>
    <mergeCell ref="C66:E66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77"/>
  <sheetViews>
    <sheetView zoomScale="80" zoomScaleNormal="80" workbookViewId="0">
      <selection activeCell="F23" sqref="F23"/>
    </sheetView>
  </sheetViews>
  <sheetFormatPr defaultRowHeight="12.75" x14ac:dyDescent="0.2"/>
  <cols>
    <col min="1" max="1" width="5.7109375" customWidth="1"/>
    <col min="2" max="2" width="71.85546875" customWidth="1"/>
    <col min="3" max="3" width="14.42578125" hidden="1" customWidth="1"/>
    <col min="4" max="4" width="14.5703125" hidden="1" customWidth="1"/>
    <col min="5" max="6" width="18.5703125" customWidth="1"/>
    <col min="7" max="7" width="16.5703125" style="264" hidden="1" customWidth="1"/>
    <col min="8" max="8" width="18.7109375" style="264" hidden="1" customWidth="1"/>
    <col min="9" max="9" width="16.5703125" hidden="1" customWidth="1"/>
    <col min="10" max="10" width="21.28515625" hidden="1" customWidth="1"/>
    <col min="11" max="11" width="18.85546875" hidden="1" customWidth="1"/>
    <col min="12" max="12" width="19.28515625" hidden="1" customWidth="1"/>
    <col min="13" max="13" width="16.85546875" hidden="1" customWidth="1"/>
    <col min="14" max="19" width="0" hidden="1" customWidth="1"/>
  </cols>
  <sheetData>
    <row r="1" spans="1:19" ht="79.5" customHeight="1" x14ac:dyDescent="0.25">
      <c r="A1" s="289"/>
      <c r="B1" s="289"/>
      <c r="C1" s="289"/>
      <c r="D1" s="707" t="s">
        <v>0</v>
      </c>
      <c r="E1" s="707"/>
      <c r="F1" s="707"/>
      <c r="G1" s="299"/>
      <c r="H1" s="299"/>
      <c r="I1" s="299"/>
      <c r="J1" s="299"/>
      <c r="S1" s="112" t="s">
        <v>115</v>
      </c>
    </row>
    <row r="2" spans="1:19" ht="56.25" customHeight="1" x14ac:dyDescent="0.2">
      <c r="A2" s="708" t="s">
        <v>225</v>
      </c>
      <c r="B2" s="708"/>
      <c r="C2" s="708"/>
      <c r="D2" s="708"/>
      <c r="E2" s="708"/>
      <c r="F2" s="708"/>
      <c r="G2" s="708"/>
      <c r="H2" s="708"/>
      <c r="I2" s="708"/>
      <c r="J2" s="708"/>
      <c r="K2" s="235"/>
      <c r="L2" s="184" t="s">
        <v>187</v>
      </c>
      <c r="S2" s="113">
        <v>1.18</v>
      </c>
    </row>
    <row r="3" spans="1:19" ht="26.25" customHeight="1" x14ac:dyDescent="0.2">
      <c r="A3" s="300"/>
      <c r="B3" s="300"/>
      <c r="C3" s="300"/>
      <c r="D3" s="300"/>
      <c r="E3" s="709" t="s">
        <v>218</v>
      </c>
      <c r="F3" s="709"/>
      <c r="G3" s="709"/>
      <c r="H3" s="709"/>
      <c r="I3" s="709"/>
      <c r="J3" s="709"/>
      <c r="K3" s="122"/>
      <c r="S3" s="123"/>
    </row>
    <row r="4" spans="1:19" ht="36.75" customHeight="1" x14ac:dyDescent="0.2">
      <c r="A4" s="710" t="s">
        <v>1</v>
      </c>
      <c r="B4" s="710" t="s">
        <v>219</v>
      </c>
      <c r="C4" s="317"/>
      <c r="D4" s="711" t="s">
        <v>226</v>
      </c>
      <c r="E4" s="713" t="s">
        <v>227</v>
      </c>
      <c r="F4" s="714"/>
      <c r="G4" s="308"/>
      <c r="H4" s="308"/>
      <c r="I4" s="308"/>
      <c r="J4" s="308"/>
      <c r="K4" s="122"/>
      <c r="S4" s="123"/>
    </row>
    <row r="5" spans="1:19" ht="50.25" customHeight="1" x14ac:dyDescent="0.2">
      <c r="A5" s="710"/>
      <c r="B5" s="710"/>
      <c r="C5" s="284" t="s">
        <v>50</v>
      </c>
      <c r="D5" s="712"/>
      <c r="E5" s="284" t="s">
        <v>228</v>
      </c>
      <c r="F5" s="284" t="s">
        <v>229</v>
      </c>
      <c r="G5" s="316" t="s">
        <v>210</v>
      </c>
      <c r="H5" s="284" t="s">
        <v>211</v>
      </c>
      <c r="I5" s="284" t="s">
        <v>216</v>
      </c>
      <c r="J5" s="284" t="s">
        <v>189</v>
      </c>
      <c r="S5" s="123"/>
    </row>
    <row r="6" spans="1:19" s="305" customFormat="1" ht="18.75" hidden="1" customHeight="1" x14ac:dyDescent="0.2">
      <c r="A6" s="304">
        <v>1</v>
      </c>
      <c r="B6" s="304">
        <v>2</v>
      </c>
      <c r="C6" s="304"/>
      <c r="D6" s="304"/>
      <c r="E6" s="304">
        <v>3</v>
      </c>
      <c r="F6" s="304">
        <v>4</v>
      </c>
      <c r="G6" s="304"/>
      <c r="H6" s="304"/>
      <c r="I6" s="304">
        <v>5</v>
      </c>
      <c r="J6" s="304">
        <v>6</v>
      </c>
      <c r="S6" s="306"/>
    </row>
    <row r="7" spans="1:19" ht="15.75" hidden="1" x14ac:dyDescent="0.2">
      <c r="A7" s="285">
        <v>1</v>
      </c>
      <c r="B7" s="285" t="s">
        <v>14</v>
      </c>
      <c r="C7" s="285"/>
      <c r="D7" s="285"/>
      <c r="E7" s="290" t="e">
        <f>#REF!</f>
        <v>#REF!</v>
      </c>
      <c r="F7" s="290">
        <f>'прил к эксп 3'!P10</f>
        <v>173.5</v>
      </c>
      <c r="G7" s="290" t="e">
        <f>E7</f>
        <v>#REF!</v>
      </c>
      <c r="H7" s="290" t="e">
        <f>G7/F7*100</f>
        <v>#REF!</v>
      </c>
      <c r="I7" s="291" t="e">
        <f>F7/E7*100</f>
        <v>#REF!</v>
      </c>
      <c r="J7" s="290">
        <f>'прил к эксп 3'!R10</f>
        <v>415</v>
      </c>
      <c r="K7" t="e">
        <f>'прил к эксп'!E7*100/'прил к эксп'!E7</f>
        <v>#REF!</v>
      </c>
      <c r="L7">
        <f>'прил к эксп'!F7*100/'прил к эксп'!F7</f>
        <v>100</v>
      </c>
      <c r="M7">
        <f>J7*100/J7</f>
        <v>100</v>
      </c>
    </row>
    <row r="8" spans="1:19" ht="84.75" hidden="1" customHeight="1" x14ac:dyDescent="0.2">
      <c r="A8" s="285"/>
      <c r="B8" s="285" t="s">
        <v>214</v>
      </c>
      <c r="C8" s="285"/>
      <c r="D8" s="285"/>
      <c r="E8" s="290" t="e">
        <f>#REF!</f>
        <v>#REF!</v>
      </c>
      <c r="F8" s="290" t="e">
        <f>#REF!</f>
        <v>#REF!</v>
      </c>
      <c r="G8" s="290" t="e">
        <f t="shared" ref="G8:G10" si="0">E8</f>
        <v>#REF!</v>
      </c>
      <c r="H8" s="290" t="e">
        <f t="shared" ref="H8:H39" si="1">G8/F8*100</f>
        <v>#REF!</v>
      </c>
      <c r="I8" s="291" t="e">
        <f t="shared" ref="I8:I39" si="2">F8/E8*100</f>
        <v>#REF!</v>
      </c>
      <c r="J8" s="290" t="e">
        <f>#REF!</f>
        <v>#REF!</v>
      </c>
      <c r="K8" s="175" t="e">
        <f>E8*100/245</f>
        <v>#REF!</v>
      </c>
      <c r="L8" s="175" t="e">
        <f>F8*100/F7</f>
        <v>#REF!</v>
      </c>
      <c r="M8" t="e">
        <f>J8*100/J7</f>
        <v>#REF!</v>
      </c>
    </row>
    <row r="9" spans="1:19" ht="63" hidden="1" x14ac:dyDescent="0.2">
      <c r="A9" s="285"/>
      <c r="B9" s="285" t="s">
        <v>200</v>
      </c>
      <c r="C9" s="285"/>
      <c r="D9" s="285"/>
      <c r="E9" s="290" t="e">
        <f>#REF!+#REF!</f>
        <v>#REF!</v>
      </c>
      <c r="F9" s="290" t="e">
        <f>#REF!+#REF!</f>
        <v>#REF!</v>
      </c>
      <c r="G9" s="290" t="e">
        <f t="shared" si="0"/>
        <v>#REF!</v>
      </c>
      <c r="H9" s="290" t="e">
        <f t="shared" si="1"/>
        <v>#REF!</v>
      </c>
      <c r="I9" s="291" t="e">
        <f t="shared" si="2"/>
        <v>#REF!</v>
      </c>
      <c r="J9" s="290" t="e">
        <f>#REF!+#REF!</f>
        <v>#REF!</v>
      </c>
      <c r="K9" t="e">
        <f>E9*100/E7</f>
        <v>#REF!</v>
      </c>
      <c r="L9" s="243" t="e">
        <f>F9*100/F7</f>
        <v>#REF!</v>
      </c>
      <c r="M9" t="e">
        <f>J9*100/J7</f>
        <v>#REF!</v>
      </c>
    </row>
    <row r="10" spans="1:19" ht="35.25" hidden="1" customHeight="1" x14ac:dyDescent="0.2">
      <c r="A10" s="285"/>
      <c r="B10" s="285" t="s">
        <v>215</v>
      </c>
      <c r="C10" s="285"/>
      <c r="D10" s="285"/>
      <c r="E10" s="290" t="e">
        <f>#REF!+#REF!+#REF!</f>
        <v>#REF!</v>
      </c>
      <c r="F10" s="290" t="e">
        <f>#REF!+#REF!+#REF!</f>
        <v>#REF!</v>
      </c>
      <c r="G10" s="290" t="e">
        <f t="shared" si="0"/>
        <v>#REF!</v>
      </c>
      <c r="H10" s="290" t="e">
        <f t="shared" si="1"/>
        <v>#REF!</v>
      </c>
      <c r="I10" s="291" t="e">
        <f t="shared" si="2"/>
        <v>#REF!</v>
      </c>
      <c r="J10" s="290" t="e">
        <f>#REF!+#REF!+#REF!</f>
        <v>#REF!</v>
      </c>
      <c r="K10" t="e">
        <f>E10*100/E7</f>
        <v>#REF!</v>
      </c>
      <c r="L10" t="e">
        <f>F10*100/F7</f>
        <v>#REF!</v>
      </c>
      <c r="M10" t="e">
        <f>J10*100/J7</f>
        <v>#REF!</v>
      </c>
    </row>
    <row r="11" spans="1:19" ht="15.75" hidden="1" x14ac:dyDescent="0.2">
      <c r="A11" s="285">
        <v>2</v>
      </c>
      <c r="B11" s="285" t="s">
        <v>15</v>
      </c>
      <c r="C11" s="285"/>
      <c r="D11" s="285"/>
      <c r="E11" s="290">
        <f>'прил к эксп 3'!N11</f>
        <v>3206</v>
      </c>
      <c r="F11" s="290">
        <f>'прил к эксп 3'!P11</f>
        <v>3331</v>
      </c>
      <c r="G11" s="290">
        <f>F11</f>
        <v>3331</v>
      </c>
      <c r="H11" s="290">
        <f t="shared" si="1"/>
        <v>100</v>
      </c>
      <c r="I11" s="291">
        <f t="shared" si="2"/>
        <v>103.89893948845913</v>
      </c>
      <c r="J11" s="290">
        <f>'прил к эксп 3'!R11</f>
        <v>3258.2590361445782</v>
      </c>
    </row>
    <row r="12" spans="1:19" ht="15.75" hidden="1" x14ac:dyDescent="0.2">
      <c r="A12" s="285">
        <v>3</v>
      </c>
      <c r="B12" s="285" t="s">
        <v>16</v>
      </c>
      <c r="C12" s="285"/>
      <c r="D12" s="285"/>
      <c r="E12" s="290">
        <f>'прил к эксп 3'!N12</f>
        <v>817.28</v>
      </c>
      <c r="F12" s="290">
        <f>'прил к эксп 3'!P12</f>
        <v>854.06</v>
      </c>
      <c r="G12" s="290">
        <f t="shared" ref="G12:G13" si="3">F12</f>
        <v>854.06</v>
      </c>
      <c r="H12" s="290">
        <f t="shared" si="1"/>
        <v>100</v>
      </c>
      <c r="I12" s="291">
        <f t="shared" si="2"/>
        <v>104.50029365700861</v>
      </c>
      <c r="J12" s="290">
        <f>'прил к эксп 3'!R12</f>
        <v>832.65669879518077</v>
      </c>
    </row>
    <row r="13" spans="1:19" ht="15.75" hidden="1" x14ac:dyDescent="0.2">
      <c r="A13" s="285">
        <v>4</v>
      </c>
      <c r="B13" s="285" t="s">
        <v>17</v>
      </c>
      <c r="C13" s="285"/>
      <c r="D13" s="285"/>
      <c r="E13" s="290">
        <f>'прил к эксп 3'!N13</f>
        <v>206.11</v>
      </c>
      <c r="F13" s="290">
        <f>'прил к эксп 3'!P13</f>
        <v>214.15</v>
      </c>
      <c r="G13" s="290">
        <f t="shared" si="3"/>
        <v>214.15</v>
      </c>
      <c r="H13" s="290">
        <f t="shared" si="1"/>
        <v>100</v>
      </c>
      <c r="I13" s="291">
        <f t="shared" si="2"/>
        <v>103.90082965406822</v>
      </c>
      <c r="J13" s="290">
        <f>'прил к эксп 3'!R13</f>
        <v>209.47130120481927</v>
      </c>
    </row>
    <row r="14" spans="1:19" s="187" customFormat="1" ht="15.75" hidden="1" x14ac:dyDescent="0.2">
      <c r="A14" s="285">
        <v>5</v>
      </c>
      <c r="B14" s="303" t="s">
        <v>114</v>
      </c>
      <c r="C14" s="303"/>
      <c r="D14" s="303"/>
      <c r="E14" s="290" t="e">
        <f>(E13*E7+E7*E12)/E7</f>
        <v>#REF!</v>
      </c>
      <c r="F14" s="290">
        <f t="shared" ref="F14:J14" si="4">(F13*F7+F7*F12)/F7</f>
        <v>1068.21</v>
      </c>
      <c r="G14" s="290" t="e">
        <f t="shared" si="4"/>
        <v>#REF!</v>
      </c>
      <c r="H14" s="290" t="e">
        <f t="shared" si="1"/>
        <v>#REF!</v>
      </c>
      <c r="I14" s="291" t="e">
        <f t="shared" si="2"/>
        <v>#REF!</v>
      </c>
      <c r="J14" s="290">
        <f t="shared" si="4"/>
        <v>1042.1279999999999</v>
      </c>
    </row>
    <row r="15" spans="1:19" ht="15.75" hidden="1" x14ac:dyDescent="0.2">
      <c r="A15" s="285">
        <v>6</v>
      </c>
      <c r="B15" s="303" t="s">
        <v>116</v>
      </c>
      <c r="C15" s="303"/>
      <c r="D15" s="303"/>
      <c r="E15" s="290" t="e">
        <f>(E11+E14)</f>
        <v>#REF!</v>
      </c>
      <c r="F15" s="290">
        <f>(F11+F14)</f>
        <v>4399.21</v>
      </c>
      <c r="G15" s="290" t="e">
        <f t="shared" ref="G15:J15" si="5">(G11+G14)</f>
        <v>#REF!</v>
      </c>
      <c r="H15" s="290" t="e">
        <f t="shared" si="1"/>
        <v>#REF!</v>
      </c>
      <c r="I15" s="291" t="e">
        <f t="shared" si="2"/>
        <v>#REF!</v>
      </c>
      <c r="J15" s="290">
        <f t="shared" si="5"/>
        <v>4300.3870361445779</v>
      </c>
    </row>
    <row r="16" spans="1:19" s="187" customFormat="1" ht="15.75" hidden="1" x14ac:dyDescent="0.2">
      <c r="A16" s="285">
        <v>7</v>
      </c>
      <c r="B16" s="303" t="s">
        <v>117</v>
      </c>
      <c r="C16" s="303"/>
      <c r="D16" s="303"/>
      <c r="E16" s="290" t="e">
        <f>E15*$S$2</f>
        <v>#REF!</v>
      </c>
      <c r="F16" s="290">
        <f t="shared" ref="F16:J16" si="6">F15*$S$2</f>
        <v>5191.0677999999998</v>
      </c>
      <c r="G16" s="290" t="e">
        <f t="shared" si="6"/>
        <v>#REF!</v>
      </c>
      <c r="H16" s="290" t="e">
        <f t="shared" si="1"/>
        <v>#REF!</v>
      </c>
      <c r="I16" s="291" t="e">
        <f t="shared" si="2"/>
        <v>#REF!</v>
      </c>
      <c r="J16" s="290">
        <f t="shared" si="6"/>
        <v>5074.456702650602</v>
      </c>
    </row>
    <row r="17" spans="1:15" s="187" customFormat="1" ht="15.75" hidden="1" x14ac:dyDescent="0.2">
      <c r="A17" s="285">
        <v>8</v>
      </c>
      <c r="B17" s="303" t="s">
        <v>118</v>
      </c>
      <c r="C17" s="303"/>
      <c r="D17" s="303"/>
      <c r="E17" s="290" t="e">
        <f>E14*E7/(E8*E19+E9*E20+E10*E21)</f>
        <v>#REF!</v>
      </c>
      <c r="F17" s="290" t="e">
        <f t="shared" ref="F17:J17" si="7">F14*F7/(F8*F19+F9*F20+F10*F21)</f>
        <v>#REF!</v>
      </c>
      <c r="G17" s="290" t="e">
        <f t="shared" si="7"/>
        <v>#REF!</v>
      </c>
      <c r="H17" s="290" t="e">
        <f t="shared" si="1"/>
        <v>#REF!</v>
      </c>
      <c r="I17" s="291" t="e">
        <f t="shared" si="2"/>
        <v>#REF!</v>
      </c>
      <c r="J17" s="290" t="e">
        <f t="shared" si="7"/>
        <v>#REF!</v>
      </c>
    </row>
    <row r="18" spans="1:15" ht="15.75" hidden="1" x14ac:dyDescent="0.2">
      <c r="A18" s="303"/>
      <c r="B18" s="303" t="s">
        <v>119</v>
      </c>
      <c r="C18" s="303"/>
      <c r="D18" s="303"/>
      <c r="E18" s="290"/>
      <c r="F18" s="290"/>
      <c r="G18" s="290"/>
      <c r="H18" s="290" t="e">
        <f t="shared" si="1"/>
        <v>#DIV/0!</v>
      </c>
      <c r="I18" s="291"/>
      <c r="J18" s="290"/>
    </row>
    <row r="19" spans="1:15" ht="81" hidden="1" customHeight="1" x14ac:dyDescent="0.2">
      <c r="A19" s="303"/>
      <c r="B19" s="285" t="s">
        <v>214</v>
      </c>
      <c r="C19" s="303"/>
      <c r="D19" s="303"/>
      <c r="E19" s="290">
        <v>1</v>
      </c>
      <c r="F19" s="290">
        <v>2</v>
      </c>
      <c r="G19" s="290">
        <v>1.7</v>
      </c>
      <c r="H19" s="290">
        <f t="shared" si="1"/>
        <v>85</v>
      </c>
      <c r="I19" s="291">
        <f t="shared" si="2"/>
        <v>200</v>
      </c>
      <c r="J19" s="290" t="e">
        <f>(E19*E8+F19*F8)/J8</f>
        <v>#REF!</v>
      </c>
      <c r="L19" s="250" t="s">
        <v>195</v>
      </c>
      <c r="M19" s="250" t="s">
        <v>208</v>
      </c>
    </row>
    <row r="20" spans="1:15" ht="63" hidden="1" x14ac:dyDescent="0.2">
      <c r="A20" s="303"/>
      <c r="B20" s="285" t="s">
        <v>200</v>
      </c>
      <c r="C20" s="303"/>
      <c r="D20" s="303"/>
      <c r="E20" s="290">
        <v>1</v>
      </c>
      <c r="F20" s="290">
        <v>2</v>
      </c>
      <c r="G20" s="290">
        <v>1.6</v>
      </c>
      <c r="H20" s="290">
        <f t="shared" si="1"/>
        <v>80</v>
      </c>
      <c r="I20" s="291">
        <f t="shared" si="2"/>
        <v>200</v>
      </c>
      <c r="J20" s="290" t="e">
        <f>(E20*E9+F20*F9)/J9</f>
        <v>#REF!</v>
      </c>
      <c r="L20" s="248">
        <f>L57</f>
        <v>900650.26329999976</v>
      </c>
      <c r="M20" s="249" t="e">
        <f>F23*F8+F9*F24+F25*F10</f>
        <v>#REF!</v>
      </c>
    </row>
    <row r="21" spans="1:15" ht="33.75" hidden="1" customHeight="1" x14ac:dyDescent="0.2">
      <c r="A21" s="303"/>
      <c r="B21" s="285" t="s">
        <v>215</v>
      </c>
      <c r="C21" s="303"/>
      <c r="D21" s="303"/>
      <c r="E21" s="290">
        <v>1</v>
      </c>
      <c r="F21" s="290">
        <v>2</v>
      </c>
      <c r="G21" s="290">
        <v>1.5</v>
      </c>
      <c r="H21" s="290">
        <f t="shared" si="1"/>
        <v>75</v>
      </c>
      <c r="I21" s="291">
        <f t="shared" si="2"/>
        <v>200</v>
      </c>
      <c r="J21" s="290" t="e">
        <f>(E21*E10+F21*F10)/J10</f>
        <v>#REF!</v>
      </c>
      <c r="L21" s="185"/>
    </row>
    <row r="22" spans="1:15" s="187" customFormat="1" ht="31.5" hidden="1" x14ac:dyDescent="0.3">
      <c r="A22" s="303">
        <v>1</v>
      </c>
      <c r="B22" s="285" t="s">
        <v>120</v>
      </c>
      <c r="C22" s="285"/>
      <c r="D22" s="285"/>
      <c r="E22" s="290"/>
      <c r="F22" s="290"/>
      <c r="G22" s="290"/>
      <c r="H22" s="290"/>
      <c r="I22" s="291"/>
      <c r="J22" s="290"/>
      <c r="K22" s="246">
        <f>'прил к эксп 3'!P18</f>
        <v>5191.0677999999989</v>
      </c>
      <c r="L22" s="247"/>
    </row>
    <row r="23" spans="1:15" ht="82.5" customHeight="1" x14ac:dyDescent="0.2">
      <c r="A23" s="303">
        <v>1</v>
      </c>
      <c r="B23" s="287" t="s">
        <v>214</v>
      </c>
      <c r="C23" s="285"/>
      <c r="D23" s="285"/>
      <c r="E23" s="301" t="e">
        <f>(E11+E17*E19)*$S$2</f>
        <v>#REF!</v>
      </c>
      <c r="F23" s="301" t="e">
        <f>($F$11+$F$17*F19)*$S$2</f>
        <v>#REF!</v>
      </c>
      <c r="G23" s="301" t="e">
        <f>($G$11+$G$17*G19)*$S$2</f>
        <v>#REF!</v>
      </c>
      <c r="H23" s="301" t="e">
        <f t="shared" si="1"/>
        <v>#REF!</v>
      </c>
      <c r="I23" s="302" t="e">
        <f t="shared" si="2"/>
        <v>#REF!</v>
      </c>
      <c r="J23" s="301" t="e">
        <f>($J$11+$J$17*J19)*$S$2</f>
        <v>#REF!</v>
      </c>
      <c r="L23" s="251">
        <f>L57</f>
        <v>900650.26329999976</v>
      </c>
    </row>
    <row r="24" spans="1:15" ht="65.25" customHeight="1" x14ac:dyDescent="0.2">
      <c r="A24" s="303">
        <v>2</v>
      </c>
      <c r="B24" s="287" t="s">
        <v>200</v>
      </c>
      <c r="C24" s="303"/>
      <c r="D24" s="303"/>
      <c r="E24" s="301" t="e">
        <f>($E$11+$E$17*E20)*$S$2</f>
        <v>#REF!</v>
      </c>
      <c r="F24" s="301" t="e">
        <f>($F$11+$F$17*F20)*$S$2</f>
        <v>#REF!</v>
      </c>
      <c r="G24" s="301" t="e">
        <f>($G$11+$G$17*G20)*$S$2</f>
        <v>#REF!</v>
      </c>
      <c r="H24" s="301" t="e">
        <f t="shared" si="1"/>
        <v>#REF!</v>
      </c>
      <c r="I24" s="302" t="e">
        <f t="shared" si="2"/>
        <v>#REF!</v>
      </c>
      <c r="J24" s="301" t="e">
        <f>($J$11+$J$17*J20)*$S$2</f>
        <v>#REF!</v>
      </c>
    </row>
    <row r="25" spans="1:15" ht="54.75" customHeight="1" x14ac:dyDescent="0.2">
      <c r="A25" s="303">
        <v>3</v>
      </c>
      <c r="B25" s="287" t="s">
        <v>231</v>
      </c>
      <c r="C25" s="303"/>
      <c r="D25" s="303"/>
      <c r="E25" s="301" t="e">
        <f>($E$11+$E$17*E21)*$S$2</f>
        <v>#REF!</v>
      </c>
      <c r="F25" s="301" t="e">
        <f>($F$11+$F$17*F21)*$S$2</f>
        <v>#REF!</v>
      </c>
      <c r="G25" s="301" t="e">
        <f>($G$11+$G$17*G21)*$S$2</f>
        <v>#REF!</v>
      </c>
      <c r="H25" s="301" t="e">
        <f t="shared" si="1"/>
        <v>#REF!</v>
      </c>
      <c r="I25" s="302" t="e">
        <f t="shared" si="2"/>
        <v>#REF!</v>
      </c>
      <c r="J25" s="301" t="e">
        <f>($J$11+$J$17*J21)*$S$2</f>
        <v>#REF!</v>
      </c>
    </row>
    <row r="26" spans="1:15" hidden="1" x14ac:dyDescent="0.2">
      <c r="A26" s="181"/>
      <c r="B26" s="182" t="s">
        <v>119</v>
      </c>
      <c r="C26" s="182"/>
      <c r="D26" s="182"/>
      <c r="E26" s="181">
        <f>E27+E28+E29</f>
        <v>3</v>
      </c>
      <c r="F26" s="181">
        <f t="shared" ref="F26:J26" si="8">F27+F28+F29</f>
        <v>6</v>
      </c>
      <c r="G26" s="268"/>
      <c r="H26" s="266">
        <f t="shared" si="1"/>
        <v>0</v>
      </c>
      <c r="I26" s="115">
        <f t="shared" si="2"/>
        <v>200</v>
      </c>
      <c r="J26" s="181" t="e">
        <f t="shared" si="8"/>
        <v>#REF!</v>
      </c>
      <c r="K26">
        <v>1</v>
      </c>
      <c r="L26">
        <v>1</v>
      </c>
      <c r="M26">
        <v>1</v>
      </c>
    </row>
    <row r="27" spans="1:15" ht="78.75" hidden="1" x14ac:dyDescent="0.2">
      <c r="A27" s="181"/>
      <c r="B27" s="16" t="s">
        <v>199</v>
      </c>
      <c r="C27" s="182"/>
      <c r="D27" s="182"/>
      <c r="E27" s="181">
        <f>E19</f>
        <v>1</v>
      </c>
      <c r="F27" s="181">
        <f t="shared" ref="F27:J29" si="9">F19</f>
        <v>2</v>
      </c>
      <c r="G27" s="268">
        <f>G19</f>
        <v>1.7</v>
      </c>
      <c r="H27" s="266">
        <f t="shared" si="1"/>
        <v>85</v>
      </c>
      <c r="I27" s="115">
        <f t="shared" si="2"/>
        <v>200</v>
      </c>
      <c r="J27" s="181" t="e">
        <f t="shared" si="9"/>
        <v>#REF!</v>
      </c>
      <c r="K27">
        <f>E27*K26/E26</f>
        <v>0.33333333333333331</v>
      </c>
      <c r="L27">
        <f>F27*L26/F26</f>
        <v>0.33333333333333331</v>
      </c>
      <c r="M27" t="e">
        <f t="shared" ref="M27" si="10">J27*M26/J26</f>
        <v>#REF!</v>
      </c>
    </row>
    <row r="28" spans="1:15" ht="78.75" hidden="1" x14ac:dyDescent="0.2">
      <c r="A28" s="181"/>
      <c r="B28" s="16" t="s">
        <v>200</v>
      </c>
      <c r="C28" s="182"/>
      <c r="D28" s="182"/>
      <c r="E28" s="181">
        <f>E20</f>
        <v>1</v>
      </c>
      <c r="F28" s="181">
        <f t="shared" si="9"/>
        <v>2</v>
      </c>
      <c r="G28" s="268">
        <f>G20</f>
        <v>1.6</v>
      </c>
      <c r="H28" s="266">
        <f t="shared" si="1"/>
        <v>80</v>
      </c>
      <c r="I28" s="115">
        <f t="shared" si="2"/>
        <v>200</v>
      </c>
      <c r="J28" s="181" t="e">
        <f t="shared" si="9"/>
        <v>#REF!</v>
      </c>
      <c r="K28">
        <f>E28*K26/E26</f>
        <v>0.33333333333333331</v>
      </c>
      <c r="L28">
        <f>F28*L26/F26</f>
        <v>0.33333333333333331</v>
      </c>
      <c r="M28" t="e">
        <f t="shared" ref="M28" si="11">J28*M26/J26</f>
        <v>#REF!</v>
      </c>
    </row>
    <row r="29" spans="1:15" ht="47.25" hidden="1" x14ac:dyDescent="0.2">
      <c r="A29" s="181"/>
      <c r="B29" s="16" t="s">
        <v>202</v>
      </c>
      <c r="C29" s="182"/>
      <c r="D29" s="182"/>
      <c r="E29" s="181">
        <f>E21</f>
        <v>1</v>
      </c>
      <c r="F29" s="181">
        <f t="shared" si="9"/>
        <v>2</v>
      </c>
      <c r="G29" s="268">
        <f>G21</f>
        <v>1.5</v>
      </c>
      <c r="H29" s="266">
        <f t="shared" si="1"/>
        <v>75</v>
      </c>
      <c r="I29" s="115">
        <f t="shared" si="2"/>
        <v>200</v>
      </c>
      <c r="J29" s="181" t="e">
        <f t="shared" si="9"/>
        <v>#REF!</v>
      </c>
      <c r="K29">
        <f>E29*K26/E26</f>
        <v>0.33333333333333331</v>
      </c>
      <c r="L29">
        <f>F29*L26/F26</f>
        <v>0.33333333333333331</v>
      </c>
      <c r="M29" t="e">
        <f t="shared" ref="M29" si="12">J29*M26/J26</f>
        <v>#REF!</v>
      </c>
    </row>
    <row r="30" spans="1:15" hidden="1" x14ac:dyDescent="0.2">
      <c r="A30" s="116"/>
      <c r="B30" s="116" t="s">
        <v>85</v>
      </c>
      <c r="C30" s="116" t="s">
        <v>65</v>
      </c>
      <c r="D30" s="116"/>
      <c r="E30" s="174" t="e">
        <f>E31+E32+E33</f>
        <v>#REF!</v>
      </c>
      <c r="F30" s="174" t="e">
        <f t="shared" ref="F30:J30" si="13">F31+F32+F33</f>
        <v>#REF!</v>
      </c>
      <c r="G30" s="270" t="e">
        <f t="shared" si="13"/>
        <v>#REF!</v>
      </c>
      <c r="H30" s="266" t="e">
        <f t="shared" si="1"/>
        <v>#REF!</v>
      </c>
      <c r="I30" s="115" t="e">
        <f t="shared" si="2"/>
        <v>#REF!</v>
      </c>
      <c r="J30" s="174" t="e">
        <f t="shared" si="13"/>
        <v>#REF!</v>
      </c>
      <c r="K30" s="177" t="s">
        <v>181</v>
      </c>
      <c r="L30" s="177"/>
      <c r="M30" s="177"/>
      <c r="N30" s="177"/>
      <c r="O30" s="177"/>
    </row>
    <row r="31" spans="1:15" ht="78.75" hidden="1" x14ac:dyDescent="0.2">
      <c r="A31" s="116"/>
      <c r="B31" s="16" t="s">
        <v>199</v>
      </c>
      <c r="C31" s="116" t="s">
        <v>65</v>
      </c>
      <c r="D31" s="116"/>
      <c r="E31" s="174" t="e">
        <f>E8*E27</f>
        <v>#REF!</v>
      </c>
      <c r="F31" s="174" t="e">
        <f t="shared" ref="F31:J31" si="14">F8*F27</f>
        <v>#REF!</v>
      </c>
      <c r="G31" s="270" t="e">
        <f t="shared" si="14"/>
        <v>#REF!</v>
      </c>
      <c r="H31" s="266" t="e">
        <f t="shared" si="1"/>
        <v>#REF!</v>
      </c>
      <c r="I31" s="115" t="e">
        <f t="shared" si="2"/>
        <v>#REF!</v>
      </c>
      <c r="J31" s="174" t="e">
        <f t="shared" si="14"/>
        <v>#REF!</v>
      </c>
    </row>
    <row r="32" spans="1:15" ht="78.75" hidden="1" x14ac:dyDescent="0.2">
      <c r="A32" s="116"/>
      <c r="B32" s="16" t="s">
        <v>200</v>
      </c>
      <c r="C32" s="116" t="s">
        <v>65</v>
      </c>
      <c r="D32" s="116"/>
      <c r="E32" s="174" t="e">
        <f t="shared" ref="E32:J33" si="15">E9*E28</f>
        <v>#REF!</v>
      </c>
      <c r="F32" s="174" t="e">
        <f t="shared" si="15"/>
        <v>#REF!</v>
      </c>
      <c r="G32" s="270" t="e">
        <f t="shared" si="15"/>
        <v>#REF!</v>
      </c>
      <c r="H32" s="266" t="e">
        <f t="shared" si="1"/>
        <v>#REF!</v>
      </c>
      <c r="I32" s="115" t="e">
        <f t="shared" si="2"/>
        <v>#REF!</v>
      </c>
      <c r="J32" s="174" t="e">
        <f t="shared" si="15"/>
        <v>#REF!</v>
      </c>
    </row>
    <row r="33" spans="1:13" ht="47.25" hidden="1" x14ac:dyDescent="0.2">
      <c r="A33" s="116"/>
      <c r="B33" s="16" t="s">
        <v>202</v>
      </c>
      <c r="C33" s="116" t="s">
        <v>65</v>
      </c>
      <c r="D33" s="116"/>
      <c r="E33" s="174" t="e">
        <f t="shared" si="15"/>
        <v>#REF!</v>
      </c>
      <c r="F33" s="174" t="e">
        <f t="shared" si="15"/>
        <v>#REF!</v>
      </c>
      <c r="G33" s="270" t="e">
        <f t="shared" si="15"/>
        <v>#REF!</v>
      </c>
      <c r="H33" s="266" t="e">
        <f t="shared" si="1"/>
        <v>#REF!</v>
      </c>
      <c r="I33" s="115" t="e">
        <f t="shared" si="2"/>
        <v>#REF!</v>
      </c>
      <c r="J33" s="174" t="e">
        <f t="shared" si="15"/>
        <v>#REF!</v>
      </c>
    </row>
    <row r="34" spans="1:13" hidden="1" x14ac:dyDescent="0.2">
      <c r="A34" s="116"/>
      <c r="B34" s="116" t="s">
        <v>93</v>
      </c>
      <c r="C34" s="116" t="s">
        <v>65</v>
      </c>
      <c r="D34" s="116"/>
      <c r="E34" s="116" t="e">
        <f>E30</f>
        <v>#REF!</v>
      </c>
      <c r="F34" s="116" t="e">
        <f t="shared" ref="F34:J34" si="16">F30</f>
        <v>#REF!</v>
      </c>
      <c r="G34" s="269" t="e">
        <f t="shared" si="16"/>
        <v>#REF!</v>
      </c>
      <c r="H34" s="266" t="e">
        <f t="shared" si="1"/>
        <v>#REF!</v>
      </c>
      <c r="I34" s="115" t="e">
        <f t="shared" si="2"/>
        <v>#REF!</v>
      </c>
      <c r="J34" s="116" t="e">
        <f t="shared" si="16"/>
        <v>#REF!</v>
      </c>
      <c r="L34" s="231" t="e">
        <f>(F27*F8+F28*F9+F29*F10)/F7</f>
        <v>#REF!</v>
      </c>
      <c r="M34" s="231" t="e">
        <f>L34*F7</f>
        <v>#REF!</v>
      </c>
    </row>
    <row r="35" spans="1:13" hidden="1" x14ac:dyDescent="0.2">
      <c r="A35" s="116"/>
      <c r="B35" s="112" t="s">
        <v>182</v>
      </c>
      <c r="C35" s="116" t="s">
        <v>72</v>
      </c>
      <c r="D35" s="116"/>
      <c r="E35" s="116" t="e">
        <f>(E7*E14)/E34</f>
        <v>#REF!</v>
      </c>
      <c r="F35" s="116" t="e">
        <f t="shared" ref="F35:J35" si="17">(F7*F14)/F34</f>
        <v>#REF!</v>
      </c>
      <c r="G35" s="269" t="e">
        <f t="shared" si="17"/>
        <v>#REF!</v>
      </c>
      <c r="H35" s="266" t="e">
        <f t="shared" si="1"/>
        <v>#REF!</v>
      </c>
      <c r="I35" s="115" t="e">
        <f t="shared" si="2"/>
        <v>#REF!</v>
      </c>
      <c r="J35" s="116" t="e">
        <f t="shared" si="17"/>
        <v>#REF!</v>
      </c>
    </row>
    <row r="36" spans="1:13" hidden="1" x14ac:dyDescent="0.2">
      <c r="A36" s="116"/>
      <c r="B36" s="116" t="s">
        <v>97</v>
      </c>
      <c r="C36" s="116"/>
      <c r="D36" s="116"/>
      <c r="E36" s="116"/>
      <c r="F36" s="116"/>
      <c r="G36" s="269"/>
      <c r="H36" s="266" t="e">
        <f t="shared" si="1"/>
        <v>#DIV/0!</v>
      </c>
      <c r="I36" s="115"/>
      <c r="J36" s="116"/>
    </row>
    <row r="37" spans="1:13" ht="78.75" hidden="1" x14ac:dyDescent="0.2">
      <c r="A37" s="116"/>
      <c r="B37" s="16" t="s">
        <v>199</v>
      </c>
      <c r="C37" s="116" t="s">
        <v>72</v>
      </c>
      <c r="D37" s="116"/>
      <c r="E37" s="116" t="e">
        <f>$E$35*E27</f>
        <v>#REF!</v>
      </c>
      <c r="F37" s="116" t="e">
        <f>$F$35*F27</f>
        <v>#REF!</v>
      </c>
      <c r="G37" s="269" t="e">
        <f>$G$35*G27</f>
        <v>#REF!</v>
      </c>
      <c r="H37" s="266" t="e">
        <f t="shared" si="1"/>
        <v>#REF!</v>
      </c>
      <c r="I37" s="115" t="e">
        <f t="shared" si="2"/>
        <v>#REF!</v>
      </c>
      <c r="J37" s="116" t="e">
        <f>$J$35*J27</f>
        <v>#REF!</v>
      </c>
    </row>
    <row r="38" spans="1:13" ht="78.75" hidden="1" x14ac:dyDescent="0.2">
      <c r="A38" s="116"/>
      <c r="B38" s="16" t="s">
        <v>200</v>
      </c>
      <c r="C38" s="116" t="s">
        <v>72</v>
      </c>
      <c r="D38" s="116"/>
      <c r="E38" s="116" t="e">
        <f t="shared" ref="E38:E39" si="18">$E$35*E28</f>
        <v>#REF!</v>
      </c>
      <c r="F38" s="116" t="e">
        <f t="shared" ref="F38" si="19">$F$35*F28</f>
        <v>#REF!</v>
      </c>
      <c r="G38" s="269" t="e">
        <f t="shared" ref="G38:G39" si="20">$G$35*G28</f>
        <v>#REF!</v>
      </c>
      <c r="H38" s="266" t="e">
        <f t="shared" si="1"/>
        <v>#REF!</v>
      </c>
      <c r="I38" s="115" t="e">
        <f t="shared" si="2"/>
        <v>#REF!</v>
      </c>
      <c r="J38" s="116" t="e">
        <f t="shared" ref="J38:J39" si="21">$J$35*J28</f>
        <v>#REF!</v>
      </c>
    </row>
    <row r="39" spans="1:13" ht="47.25" hidden="1" x14ac:dyDescent="0.2">
      <c r="A39" s="116"/>
      <c r="B39" s="16" t="s">
        <v>202</v>
      </c>
      <c r="C39" s="116" t="s">
        <v>72</v>
      </c>
      <c r="D39" s="116"/>
      <c r="E39" s="116" t="e">
        <f t="shared" si="18"/>
        <v>#REF!</v>
      </c>
      <c r="F39" s="116" t="e">
        <f>$F$35*F29</f>
        <v>#REF!</v>
      </c>
      <c r="G39" s="269" t="e">
        <f t="shared" si="20"/>
        <v>#REF!</v>
      </c>
      <c r="H39" s="266" t="e">
        <f t="shared" si="1"/>
        <v>#REF!</v>
      </c>
      <c r="I39" s="115" t="e">
        <f t="shared" si="2"/>
        <v>#REF!</v>
      </c>
      <c r="J39" s="116" t="e">
        <f t="shared" si="21"/>
        <v>#REF!</v>
      </c>
    </row>
    <row r="40" spans="1:13" s="245" customFormat="1" hidden="1" x14ac:dyDescent="0.2">
      <c r="G40" s="264"/>
      <c r="H40" s="264"/>
    </row>
    <row r="41" spans="1:13" ht="15.75" hidden="1" x14ac:dyDescent="0.2">
      <c r="B41" s="252" t="s">
        <v>205</v>
      </c>
      <c r="C41" s="253"/>
      <c r="D41" s="253"/>
      <c r="E41" s="254"/>
      <c r="F41" s="254"/>
      <c r="G41" s="271"/>
      <c r="H41" s="271"/>
      <c r="I41" s="254"/>
      <c r="J41" s="254"/>
    </row>
    <row r="42" spans="1:13" ht="78.75" hidden="1" x14ac:dyDescent="0.2">
      <c r="B42" s="255" t="s">
        <v>199</v>
      </c>
      <c r="C42" s="256" t="s">
        <v>57</v>
      </c>
      <c r="D42" s="256"/>
      <c r="E42" s="257" t="e">
        <f>E37*E8</f>
        <v>#REF!</v>
      </c>
      <c r="F42" s="257" t="e">
        <f t="shared" ref="F42:J42" si="22">F37*F8</f>
        <v>#REF!</v>
      </c>
      <c r="G42" s="272"/>
      <c r="H42" s="272"/>
      <c r="I42" s="258"/>
      <c r="J42" s="257" t="e">
        <f t="shared" si="22"/>
        <v>#REF!</v>
      </c>
      <c r="K42" s="218" t="s">
        <v>209</v>
      </c>
    </row>
    <row r="43" spans="1:13" ht="78.75" hidden="1" x14ac:dyDescent="0.2">
      <c r="B43" s="255" t="s">
        <v>200</v>
      </c>
      <c r="C43" s="256" t="s">
        <v>57</v>
      </c>
      <c r="D43" s="256"/>
      <c r="E43" s="257" t="e">
        <f t="shared" ref="E43:J44" si="23">E38*E9</f>
        <v>#REF!</v>
      </c>
      <c r="F43" s="257" t="e">
        <f t="shared" si="23"/>
        <v>#REF!</v>
      </c>
      <c r="G43" s="272"/>
      <c r="H43" s="272"/>
      <c r="I43" s="258"/>
      <c r="J43" s="257" t="e">
        <f t="shared" si="23"/>
        <v>#REF!</v>
      </c>
      <c r="K43" s="262" t="e">
        <f>(F42+C49)*S2*F27</f>
        <v>#REF!</v>
      </c>
      <c r="L43" s="176" t="e">
        <f>K43*S2</f>
        <v>#REF!</v>
      </c>
    </row>
    <row r="44" spans="1:13" ht="47.25" hidden="1" x14ac:dyDescent="0.2">
      <c r="B44" s="255" t="s">
        <v>202</v>
      </c>
      <c r="C44" s="256" t="s">
        <v>57</v>
      </c>
      <c r="D44" s="256"/>
      <c r="E44" s="257" t="e">
        <f t="shared" si="23"/>
        <v>#REF!</v>
      </c>
      <c r="F44" s="257" t="e">
        <f t="shared" si="23"/>
        <v>#REF!</v>
      </c>
      <c r="G44" s="272"/>
      <c r="H44" s="272"/>
      <c r="I44" s="258"/>
      <c r="J44" s="257" t="e">
        <f t="shared" si="23"/>
        <v>#REF!</v>
      </c>
      <c r="K44" s="262" t="e">
        <f>S2*(F8*(C49+(F35*F27)))</f>
        <v>#REF!</v>
      </c>
      <c r="L44" s="176"/>
    </row>
    <row r="45" spans="1:13" ht="15.75" hidden="1" x14ac:dyDescent="0.2">
      <c r="B45" s="259" t="s">
        <v>106</v>
      </c>
      <c r="C45" s="256" t="s">
        <v>57</v>
      </c>
      <c r="D45" s="256"/>
      <c r="E45" s="260" t="e">
        <f>E42+E43+E44</f>
        <v>#REF!</v>
      </c>
      <c r="F45" s="260" t="e">
        <f t="shared" ref="F45:J45" si="24">F42+F43+F44</f>
        <v>#REF!</v>
      </c>
      <c r="G45" s="273"/>
      <c r="H45" s="273"/>
      <c r="I45" s="261"/>
      <c r="J45" s="260" t="e">
        <f t="shared" si="24"/>
        <v>#REF!</v>
      </c>
    </row>
    <row r="46" spans="1:13" ht="15.75" hidden="1" x14ac:dyDescent="0.2">
      <c r="A46" s="185"/>
      <c r="B46" s="95"/>
      <c r="C46" s="105"/>
      <c r="D46" s="105"/>
      <c r="E46" s="186"/>
      <c r="F46" s="186"/>
      <c r="G46" s="274"/>
      <c r="H46" s="274"/>
      <c r="I46" s="186"/>
      <c r="J46" s="186"/>
      <c r="K46" s="54"/>
    </row>
    <row r="47" spans="1:13" ht="15.75" hidden="1" x14ac:dyDescent="0.2">
      <c r="B47" s="188" t="s">
        <v>134</v>
      </c>
      <c r="C47" s="100" t="s">
        <v>107</v>
      </c>
      <c r="D47" s="100"/>
      <c r="E47" s="192" t="s">
        <v>108</v>
      </c>
      <c r="F47" s="192" t="s">
        <v>33</v>
      </c>
      <c r="G47" s="275"/>
      <c r="H47" s="275"/>
      <c r="I47" s="217"/>
      <c r="J47" s="220" t="s">
        <v>194</v>
      </c>
      <c r="K47" s="228" t="s">
        <v>197</v>
      </c>
      <c r="L47" s="229" t="s">
        <v>195</v>
      </c>
    </row>
    <row r="48" spans="1:13" ht="15.75" hidden="1" x14ac:dyDescent="0.2">
      <c r="B48" s="99" t="s">
        <v>109</v>
      </c>
      <c r="C48" s="701" t="s">
        <v>190</v>
      </c>
      <c r="D48" s="701"/>
      <c r="E48" s="701"/>
      <c r="F48" s="701"/>
      <c r="G48" s="276"/>
      <c r="H48" s="276"/>
      <c r="I48" s="221"/>
      <c r="J48" s="57"/>
      <c r="K48" s="57"/>
      <c r="L48" s="116"/>
    </row>
    <row r="49" spans="2:14" ht="78.75" hidden="1" x14ac:dyDescent="0.2">
      <c r="B49" s="16" t="s">
        <v>199</v>
      </c>
      <c r="C49" s="190">
        <f>E11</f>
        <v>3206</v>
      </c>
      <c r="D49" s="190"/>
      <c r="E49" s="191" t="e">
        <f>C49+E37</f>
        <v>#REF!</v>
      </c>
      <c r="F49" s="191" t="e">
        <f>E49*E8</f>
        <v>#REF!</v>
      </c>
      <c r="G49" s="277"/>
      <c r="H49" s="277"/>
      <c r="I49" s="222"/>
      <c r="J49" s="223" t="e">
        <f>E49*$S$2</f>
        <v>#REF!</v>
      </c>
      <c r="K49" s="224" t="e">
        <f>J49*E8</f>
        <v>#REF!</v>
      </c>
      <c r="L49" s="116"/>
    </row>
    <row r="50" spans="2:14" ht="78.75" hidden="1" x14ac:dyDescent="0.2">
      <c r="B50" s="16" t="s">
        <v>200</v>
      </c>
      <c r="C50" s="192">
        <f>C49</f>
        <v>3206</v>
      </c>
      <c r="D50" s="192"/>
      <c r="E50" s="191" t="e">
        <f>C50+E38</f>
        <v>#REF!</v>
      </c>
      <c r="F50" s="191" t="e">
        <f>E50*E9</f>
        <v>#REF!</v>
      </c>
      <c r="G50" s="277"/>
      <c r="H50" s="277"/>
      <c r="I50" s="222"/>
      <c r="J50" s="223" t="e">
        <f t="shared" ref="J50:J64" si="25">E50*$S$2</f>
        <v>#REF!</v>
      </c>
      <c r="K50" s="224" t="e">
        <f t="shared" ref="K50:K51" si="26">J50*E9</f>
        <v>#REF!</v>
      </c>
      <c r="L50" s="116"/>
    </row>
    <row r="51" spans="2:14" ht="47.25" hidden="1" x14ac:dyDescent="0.2">
      <c r="B51" s="16" t="s">
        <v>202</v>
      </c>
      <c r="C51" s="192">
        <f>C50</f>
        <v>3206</v>
      </c>
      <c r="D51" s="192"/>
      <c r="E51" s="191" t="e">
        <f>C51+E39</f>
        <v>#REF!</v>
      </c>
      <c r="F51" s="191" t="e">
        <f>E51*E10</f>
        <v>#REF!</v>
      </c>
      <c r="G51" s="277"/>
      <c r="H51" s="277"/>
      <c r="I51" s="222"/>
      <c r="J51" s="223" t="e">
        <f t="shared" si="25"/>
        <v>#REF!</v>
      </c>
      <c r="K51" s="224" t="e">
        <f t="shared" si="26"/>
        <v>#REF!</v>
      </c>
      <c r="L51" s="116"/>
    </row>
    <row r="52" spans="2:14" hidden="1" x14ac:dyDescent="0.2">
      <c r="B52" s="57" t="s">
        <v>106</v>
      </c>
      <c r="C52" s="192"/>
      <c r="D52" s="192"/>
      <c r="E52" s="57"/>
      <c r="F52" s="191" t="e">
        <f>F49+F50+F51</f>
        <v>#REF!</v>
      </c>
      <c r="G52" s="277"/>
      <c r="H52" s="277"/>
      <c r="I52" s="222"/>
      <c r="J52" s="223"/>
      <c r="K52" s="225" t="e">
        <f>K49+K50+K51</f>
        <v>#REF!</v>
      </c>
      <c r="L52" s="115">
        <f>'прил к эксп 3'!N19</f>
        <v>1205249.2682999996</v>
      </c>
    </row>
    <row r="53" spans="2:14" ht="15.75" hidden="1" x14ac:dyDescent="0.2">
      <c r="B53" s="99" t="s">
        <v>109</v>
      </c>
      <c r="C53" s="699" t="s">
        <v>191</v>
      </c>
      <c r="D53" s="699"/>
      <c r="E53" s="699"/>
      <c r="F53" s="699"/>
      <c r="G53" s="278"/>
      <c r="H53" s="278"/>
      <c r="I53" s="226"/>
      <c r="J53" s="223"/>
      <c r="K53" s="116"/>
      <c r="L53" s="116"/>
    </row>
    <row r="54" spans="2:14" ht="78.75" hidden="1" x14ac:dyDescent="0.2">
      <c r="B54" s="16" t="s">
        <v>199</v>
      </c>
      <c r="C54" s="115">
        <f>'прил к эксп 3'!P11</f>
        <v>3331</v>
      </c>
      <c r="D54" s="115"/>
      <c r="E54" s="115" t="e">
        <f>C54+F37</f>
        <v>#REF!</v>
      </c>
      <c r="F54" s="116" t="e">
        <f>E54*F8</f>
        <v>#REF!</v>
      </c>
      <c r="G54" s="269"/>
      <c r="H54" s="269"/>
      <c r="I54" s="227"/>
      <c r="J54" s="223" t="e">
        <f t="shared" si="25"/>
        <v>#REF!</v>
      </c>
      <c r="K54" s="116" t="e">
        <f>J54*F8</f>
        <v>#REF!</v>
      </c>
      <c r="L54" s="116"/>
      <c r="M54" t="e">
        <f>E54*S2*F7</f>
        <v>#REF!</v>
      </c>
      <c r="N54" t="e">
        <f>F54*S2</f>
        <v>#REF!</v>
      </c>
    </row>
    <row r="55" spans="2:14" ht="78.75" hidden="1" x14ac:dyDescent="0.2">
      <c r="B55" s="16" t="s">
        <v>200</v>
      </c>
      <c r="C55" s="115">
        <f>C54</f>
        <v>3331</v>
      </c>
      <c r="D55" s="115"/>
      <c r="E55" s="115" t="e">
        <f>C55+F38</f>
        <v>#REF!</v>
      </c>
      <c r="F55" s="116" t="e">
        <f t="shared" ref="F55:F56" si="27">E55*F9</f>
        <v>#REF!</v>
      </c>
      <c r="G55" s="269"/>
      <c r="H55" s="269"/>
      <c r="I55" s="227"/>
      <c r="J55" s="223" t="e">
        <f t="shared" si="25"/>
        <v>#REF!</v>
      </c>
      <c r="K55" s="116" t="e">
        <f t="shared" ref="K55:K56" si="28">J55*F9</f>
        <v>#REF!</v>
      </c>
      <c r="L55" s="116"/>
    </row>
    <row r="56" spans="2:14" ht="47.25" hidden="1" x14ac:dyDescent="0.2">
      <c r="B56" s="16" t="s">
        <v>202</v>
      </c>
      <c r="C56" s="115">
        <f>C55</f>
        <v>3331</v>
      </c>
      <c r="D56" s="115"/>
      <c r="E56" s="115" t="e">
        <f>C56+F39</f>
        <v>#REF!</v>
      </c>
      <c r="F56" s="116" t="e">
        <f t="shared" si="27"/>
        <v>#REF!</v>
      </c>
      <c r="G56" s="269"/>
      <c r="H56" s="269"/>
      <c r="I56" s="227"/>
      <c r="J56" s="223" t="e">
        <f t="shared" si="25"/>
        <v>#REF!</v>
      </c>
      <c r="K56" s="116" t="e">
        <f t="shared" si="28"/>
        <v>#REF!</v>
      </c>
      <c r="L56" s="116"/>
    </row>
    <row r="57" spans="2:14" hidden="1" x14ac:dyDescent="0.2">
      <c r="B57" s="57" t="s">
        <v>106</v>
      </c>
      <c r="C57" s="116"/>
      <c r="D57" s="116"/>
      <c r="E57" s="116"/>
      <c r="F57" s="116" t="e">
        <f>F54+F55+F56</f>
        <v>#REF!</v>
      </c>
      <c r="G57" s="269"/>
      <c r="H57" s="269"/>
      <c r="I57" s="219"/>
      <c r="J57" s="223"/>
      <c r="K57" s="116" t="e">
        <f>K54+K55+K56</f>
        <v>#REF!</v>
      </c>
      <c r="L57" s="115">
        <f>'прил к эксп 3'!P19</f>
        <v>900650.26329999976</v>
      </c>
    </row>
    <row r="58" spans="2:14" hidden="1" x14ac:dyDescent="0.2">
      <c r="B58" s="57" t="s">
        <v>198</v>
      </c>
      <c r="C58" s="232">
        <f>C54/C49*100</f>
        <v>103.89893948845913</v>
      </c>
      <c r="D58" s="232"/>
      <c r="E58" s="116"/>
      <c r="F58" s="116"/>
      <c r="G58" s="269"/>
      <c r="H58" s="269"/>
      <c r="I58" s="219"/>
      <c r="J58" s="233" t="e">
        <f>J54/J49*100</f>
        <v>#REF!</v>
      </c>
      <c r="K58" s="116"/>
      <c r="L58" s="115"/>
    </row>
    <row r="59" spans="2:14" hidden="1" x14ac:dyDescent="0.2">
      <c r="B59" s="57"/>
      <c r="C59" s="232">
        <f t="shared" ref="C59:C60" si="29">C55/C50*100</f>
        <v>103.89893948845913</v>
      </c>
      <c r="D59" s="232"/>
      <c r="E59" s="116"/>
      <c r="F59" s="116"/>
      <c r="G59" s="269"/>
      <c r="H59" s="269"/>
      <c r="I59" s="219"/>
      <c r="J59" s="233" t="e">
        <f t="shared" ref="J59:J60" si="30">J55/J50*100</f>
        <v>#REF!</v>
      </c>
      <c r="K59" s="116"/>
      <c r="L59" s="115"/>
    </row>
    <row r="60" spans="2:14" hidden="1" x14ac:dyDescent="0.2">
      <c r="B60" s="57"/>
      <c r="C60" s="232">
        <f t="shared" si="29"/>
        <v>103.89893948845913</v>
      </c>
      <c r="D60" s="232"/>
      <c r="E60" s="116"/>
      <c r="F60" s="116"/>
      <c r="G60" s="269"/>
      <c r="H60" s="269"/>
      <c r="I60" s="219"/>
      <c r="J60" s="233" t="e">
        <f t="shared" si="30"/>
        <v>#REF!</v>
      </c>
      <c r="K60" s="116"/>
      <c r="L60" s="115"/>
    </row>
    <row r="61" spans="2:14" ht="15.75" hidden="1" x14ac:dyDescent="0.2">
      <c r="B61" s="99" t="s">
        <v>109</v>
      </c>
      <c r="C61" s="699" t="s">
        <v>192</v>
      </c>
      <c r="D61" s="699"/>
      <c r="E61" s="699"/>
      <c r="F61" s="699"/>
      <c r="G61" s="278"/>
      <c r="H61" s="278"/>
      <c r="I61" s="307"/>
      <c r="J61" s="223"/>
      <c r="K61" s="116"/>
      <c r="L61" s="116"/>
    </row>
    <row r="62" spans="2:14" ht="78.75" hidden="1" x14ac:dyDescent="0.2">
      <c r="B62" s="16" t="s">
        <v>199</v>
      </c>
      <c r="C62" s="194">
        <f>'прил к эксп 3'!R11</f>
        <v>3258.2590361445782</v>
      </c>
      <c r="D62" s="194"/>
      <c r="E62" s="194" t="e">
        <f>C62+J37</f>
        <v>#REF!</v>
      </c>
      <c r="F62" s="174" t="e">
        <f>E62*J8</f>
        <v>#REF!</v>
      </c>
      <c r="G62" s="270"/>
      <c r="H62" s="270"/>
      <c r="I62" s="174"/>
      <c r="J62" s="223" t="e">
        <f t="shared" si="25"/>
        <v>#REF!</v>
      </c>
      <c r="K62" s="116" t="e">
        <f>J62*J8</f>
        <v>#REF!</v>
      </c>
      <c r="L62" s="116"/>
    </row>
    <row r="63" spans="2:14" ht="78.75" hidden="1" x14ac:dyDescent="0.2">
      <c r="B63" s="16" t="s">
        <v>200</v>
      </c>
      <c r="C63" s="194">
        <f>C62</f>
        <v>3258.2590361445782</v>
      </c>
      <c r="D63" s="194"/>
      <c r="E63" s="194" t="e">
        <f>C63+J38</f>
        <v>#REF!</v>
      </c>
      <c r="F63" s="174" t="e">
        <f>E63*J9</f>
        <v>#REF!</v>
      </c>
      <c r="G63" s="270"/>
      <c r="H63" s="270"/>
      <c r="I63" s="174"/>
      <c r="J63" s="223" t="e">
        <f t="shared" si="25"/>
        <v>#REF!</v>
      </c>
      <c r="K63" s="116" t="e">
        <f>J63*J9</f>
        <v>#REF!</v>
      </c>
      <c r="L63" s="116"/>
    </row>
    <row r="64" spans="2:14" ht="47.25" hidden="1" x14ac:dyDescent="0.2">
      <c r="B64" s="16" t="s">
        <v>202</v>
      </c>
      <c r="C64" s="194">
        <f>C63</f>
        <v>3258.2590361445782</v>
      </c>
      <c r="D64" s="194"/>
      <c r="E64" s="194" t="e">
        <f>C64+J39</f>
        <v>#REF!</v>
      </c>
      <c r="F64" s="174" t="e">
        <f>E64*J10</f>
        <v>#REF!</v>
      </c>
      <c r="G64" s="270"/>
      <c r="H64" s="270"/>
      <c r="I64" s="174"/>
      <c r="J64" s="223" t="e">
        <f t="shared" si="25"/>
        <v>#REF!</v>
      </c>
      <c r="K64" s="116" t="e">
        <f>J64*J10</f>
        <v>#REF!</v>
      </c>
      <c r="L64" s="116"/>
    </row>
    <row r="65" spans="1:13" hidden="1" x14ac:dyDescent="0.2">
      <c r="B65" s="57" t="s">
        <v>106</v>
      </c>
      <c r="C65" s="174"/>
      <c r="D65" s="174"/>
      <c r="E65" s="174"/>
      <c r="F65" s="174" t="e">
        <f>F62+F63+F64</f>
        <v>#REF!</v>
      </c>
      <c r="G65" s="270"/>
      <c r="H65" s="270"/>
      <c r="I65" s="174"/>
      <c r="J65" s="197" t="e">
        <f>J62/'прил к эксп 3'!M27*100</f>
        <v>#REF!</v>
      </c>
      <c r="K65" s="116" t="e">
        <f>K62+K63+K64</f>
        <v>#REF!</v>
      </c>
      <c r="L65" s="115">
        <f>'прил к эксп 3'!R19</f>
        <v>2105899.5316000003</v>
      </c>
      <c r="M65" t="e">
        <f>F65*1.18</f>
        <v>#REF!</v>
      </c>
    </row>
    <row r="66" spans="1:13" hidden="1" x14ac:dyDescent="0.2">
      <c r="B66" s="57" t="s">
        <v>198</v>
      </c>
      <c r="C66" s="174"/>
      <c r="D66" s="174"/>
      <c r="E66" s="174"/>
      <c r="F66" s="174"/>
      <c r="G66" s="270"/>
      <c r="H66" s="270"/>
      <c r="I66" s="174"/>
      <c r="J66" s="197" t="e">
        <f>J63/'прил к эксп 3'!M28*100</f>
        <v>#REF!</v>
      </c>
      <c r="K66" s="116"/>
      <c r="L66" s="115"/>
    </row>
    <row r="67" spans="1:13" hidden="1" x14ac:dyDescent="0.2">
      <c r="B67" s="57"/>
      <c r="C67" s="174"/>
      <c r="D67" s="174"/>
      <c r="E67" s="174"/>
      <c r="F67" s="174"/>
      <c r="G67" s="270"/>
      <c r="H67" s="270"/>
      <c r="I67" s="174"/>
      <c r="J67" s="197" t="e">
        <f>J64/'прил к эксп 3'!M26*100</f>
        <v>#REF!</v>
      </c>
      <c r="K67" s="116"/>
      <c r="L67" s="115"/>
    </row>
    <row r="68" spans="1:13" hidden="1" x14ac:dyDescent="0.2">
      <c r="B68" s="57"/>
      <c r="C68" s="174"/>
      <c r="D68" s="174"/>
      <c r="E68" s="174"/>
      <c r="F68" s="174"/>
      <c r="G68" s="270"/>
      <c r="H68" s="270"/>
      <c r="I68" s="174"/>
      <c r="J68" s="116"/>
      <c r="K68" s="116"/>
      <c r="L68" s="115"/>
    </row>
    <row r="69" spans="1:13" hidden="1" x14ac:dyDescent="0.2">
      <c r="C69" s="176"/>
      <c r="D69" s="176"/>
      <c r="E69" s="176"/>
      <c r="F69" s="195" t="e">
        <f>F52+F57</f>
        <v>#REF!</v>
      </c>
      <c r="G69" s="279"/>
      <c r="H69" s="279"/>
      <c r="I69" s="195"/>
      <c r="J69" s="196" t="s">
        <v>193</v>
      </c>
      <c r="M69" s="230" t="e">
        <f>K57+K52</f>
        <v>#REF!</v>
      </c>
    </row>
    <row r="70" spans="1:13" hidden="1" x14ac:dyDescent="0.2"/>
    <row r="71" spans="1:13" hidden="1" x14ac:dyDescent="0.2"/>
    <row r="72" spans="1:13" hidden="1" x14ac:dyDescent="0.2"/>
    <row r="73" spans="1:13" ht="78.75" x14ac:dyDescent="0.2">
      <c r="A73" s="318">
        <v>4</v>
      </c>
      <c r="B73" s="287" t="s">
        <v>230</v>
      </c>
      <c r="C73" s="318"/>
      <c r="D73" s="318"/>
      <c r="E73" s="319">
        <f>'прил к эксп 2'!D30</f>
        <v>4990.6801999999989</v>
      </c>
      <c r="F73" s="319">
        <f>'прил к эксп 2'!E30</f>
        <v>5191.0677999999998</v>
      </c>
    </row>
    <row r="74" spans="1:13" ht="78.75" x14ac:dyDescent="0.2">
      <c r="A74" s="318">
        <v>5</v>
      </c>
      <c r="B74" s="287" t="s">
        <v>222</v>
      </c>
      <c r="C74" s="318"/>
      <c r="D74" s="318"/>
      <c r="E74" s="319">
        <f>'прил к эксп 2'!D31</f>
        <v>4990.6801999999989</v>
      </c>
      <c r="F74" s="319">
        <f>'прил к эксп 2'!E31</f>
        <v>5191.0677999999998</v>
      </c>
    </row>
    <row r="77" spans="1:13" ht="41.25" customHeight="1" x14ac:dyDescent="0.25">
      <c r="A77" s="706" t="s">
        <v>41</v>
      </c>
      <c r="B77" s="706"/>
      <c r="C77" s="320"/>
      <c r="D77" s="320"/>
      <c r="E77" s="320"/>
      <c r="F77" s="321" t="s">
        <v>256</v>
      </c>
    </row>
  </sheetData>
  <mergeCells count="11">
    <mergeCell ref="C48:F48"/>
    <mergeCell ref="C53:F53"/>
    <mergeCell ref="C61:F61"/>
    <mergeCell ref="A77:B77"/>
    <mergeCell ref="D1:F1"/>
    <mergeCell ref="A2:J2"/>
    <mergeCell ref="E3:J3"/>
    <mergeCell ref="A4:A5"/>
    <mergeCell ref="B4:B5"/>
    <mergeCell ref="D4:D5"/>
    <mergeCell ref="E4:F4"/>
  </mergeCells>
  <printOptions horizontalCentered="1"/>
  <pageMargins left="0.70866141732283472" right="0.70866141732283472" top="0.74803149606299213" bottom="0.74803149606299213" header="0" footer="0"/>
  <pageSetup paperSize="9" scale="7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N35"/>
  <sheetViews>
    <sheetView zoomScale="77" zoomScaleNormal="77" zoomScaleSheetLayoutView="78" workbookViewId="0">
      <selection activeCell="U7" sqref="U7"/>
    </sheetView>
  </sheetViews>
  <sheetFormatPr defaultRowHeight="12.75" x14ac:dyDescent="0.2"/>
  <cols>
    <col min="1" max="1" width="7" customWidth="1"/>
    <col min="2" max="2" width="36.85546875" customWidth="1"/>
    <col min="3" max="3" width="14.5703125" customWidth="1"/>
    <col min="4" max="4" width="14" hidden="1" customWidth="1"/>
    <col min="5" max="5" width="15.42578125" hidden="1" customWidth="1"/>
    <col min="6" max="6" width="13.85546875" customWidth="1"/>
    <col min="7" max="7" width="14.5703125" customWidth="1"/>
    <col min="8" max="8" width="13.42578125" customWidth="1"/>
    <col min="9" max="9" width="11.85546875" hidden="1" customWidth="1"/>
    <col min="10" max="10" width="13.5703125" style="440" customWidth="1"/>
    <col min="11" max="11" width="16" style="440" customWidth="1"/>
    <col min="12" max="12" width="14.28515625" customWidth="1"/>
    <col min="13" max="13" width="0.140625" customWidth="1"/>
    <col min="14" max="14" width="13.140625" customWidth="1"/>
  </cols>
  <sheetData>
    <row r="1" spans="1:14" ht="15.75" x14ac:dyDescent="0.25">
      <c r="H1" s="347"/>
      <c r="I1" s="347"/>
      <c r="J1" s="578"/>
      <c r="K1" s="723" t="s">
        <v>0</v>
      </c>
      <c r="L1" s="723"/>
      <c r="M1" s="723"/>
      <c r="N1" s="723"/>
    </row>
    <row r="2" spans="1:14" x14ac:dyDescent="0.2">
      <c r="G2" s="324"/>
      <c r="H2" s="323"/>
      <c r="I2" s="323"/>
      <c r="J2" s="579"/>
      <c r="K2" s="579"/>
    </row>
    <row r="3" spans="1:14" ht="54.75" customHeight="1" x14ac:dyDescent="0.2">
      <c r="A3" s="733" t="s">
        <v>261</v>
      </c>
      <c r="B3" s="733"/>
      <c r="C3" s="733"/>
      <c r="D3" s="733"/>
      <c r="E3" s="733"/>
      <c r="F3" s="733"/>
      <c r="G3" s="733"/>
      <c r="H3" s="733"/>
      <c r="I3" s="733"/>
      <c r="J3" s="733"/>
      <c r="K3" s="733"/>
      <c r="L3" s="733"/>
      <c r="M3" s="733"/>
      <c r="N3" s="733"/>
    </row>
    <row r="4" spans="1:14" ht="13.5" thickBot="1" x14ac:dyDescent="0.25"/>
    <row r="5" spans="1:14" ht="136.5" customHeight="1" x14ac:dyDescent="0.2">
      <c r="A5" s="725" t="s">
        <v>1</v>
      </c>
      <c r="B5" s="719" t="s">
        <v>240</v>
      </c>
      <c r="C5" s="719" t="s">
        <v>236</v>
      </c>
      <c r="D5" s="719" t="s">
        <v>244</v>
      </c>
      <c r="E5" s="719"/>
      <c r="F5" s="719" t="s">
        <v>265</v>
      </c>
      <c r="G5" s="719"/>
      <c r="H5" s="719" t="s">
        <v>237</v>
      </c>
      <c r="I5" s="719" t="s">
        <v>238</v>
      </c>
      <c r="J5" s="734" t="s">
        <v>274</v>
      </c>
      <c r="K5" s="734"/>
      <c r="L5" s="719" t="s">
        <v>259</v>
      </c>
      <c r="M5" s="719"/>
      <c r="N5" s="731" t="s">
        <v>258</v>
      </c>
    </row>
    <row r="6" spans="1:14" ht="65.25" customHeight="1" x14ac:dyDescent="0.2">
      <c r="A6" s="726"/>
      <c r="B6" s="720"/>
      <c r="C6" s="720"/>
      <c r="D6" s="539" t="s">
        <v>251</v>
      </c>
      <c r="E6" s="539" t="s">
        <v>252</v>
      </c>
      <c r="F6" s="539" t="s">
        <v>266</v>
      </c>
      <c r="G6" s="539" t="s">
        <v>267</v>
      </c>
      <c r="H6" s="720"/>
      <c r="I6" s="720"/>
      <c r="J6" s="580" t="s">
        <v>272</v>
      </c>
      <c r="K6" s="580" t="s">
        <v>273</v>
      </c>
      <c r="L6" s="720"/>
      <c r="M6" s="720"/>
      <c r="N6" s="732"/>
    </row>
    <row r="7" spans="1:14" ht="17.25" customHeight="1" x14ac:dyDescent="0.2">
      <c r="A7" s="538">
        <v>1</v>
      </c>
      <c r="B7" s="539">
        <v>2</v>
      </c>
      <c r="C7" s="539">
        <v>3</v>
      </c>
      <c r="D7" s="539">
        <v>4</v>
      </c>
      <c r="E7" s="539">
        <v>5</v>
      </c>
      <c r="F7" s="539">
        <v>4</v>
      </c>
      <c r="G7" s="539">
        <v>5</v>
      </c>
      <c r="H7" s="539">
        <v>6</v>
      </c>
      <c r="I7" s="539">
        <v>7</v>
      </c>
      <c r="J7" s="575">
        <v>7</v>
      </c>
      <c r="K7" s="575">
        <v>8</v>
      </c>
      <c r="L7" s="570">
        <v>9</v>
      </c>
      <c r="M7" s="539">
        <v>7</v>
      </c>
      <c r="N7" s="606">
        <v>10</v>
      </c>
    </row>
    <row r="8" spans="1:14" ht="158.25" customHeight="1" x14ac:dyDescent="0.2">
      <c r="A8" s="351">
        <v>1</v>
      </c>
      <c r="B8" s="492" t="s">
        <v>214</v>
      </c>
      <c r="C8" s="539" t="s">
        <v>239</v>
      </c>
      <c r="D8" s="729">
        <f>'прил к эксп 3'!E18</f>
        <v>3284.5</v>
      </c>
      <c r="E8" s="729" t="e">
        <f>'МОЙ РАСЧЕТ (4)'!I60</f>
        <v>#REF!</v>
      </c>
      <c r="F8" s="443">
        <v>4990.6801999999989</v>
      </c>
      <c r="G8" s="443">
        <v>5191.0657821999994</v>
      </c>
      <c r="H8" s="544">
        <f>G8/F8*100</f>
        <v>104.01519580837899</v>
      </c>
      <c r="I8" s="338">
        <f>G8/F8*100</f>
        <v>104.01519580837899</v>
      </c>
      <c r="J8" s="567">
        <f>'прил к эксп 2'!J27</f>
        <v>5191.0677999999998</v>
      </c>
      <c r="K8" s="567">
        <f>'прил к эксп 2'!K27</f>
        <v>5358.6749999999993</v>
      </c>
      <c r="L8" s="348">
        <f>J8/G8*100</f>
        <v>100.00003887063052</v>
      </c>
      <c r="M8" s="349">
        <f>'прил к эксп 2'!I27</f>
        <v>5074.4567026506011</v>
      </c>
      <c r="N8" s="165">
        <f>K8/J8*100</f>
        <v>103.22876152763791</v>
      </c>
    </row>
    <row r="9" spans="1:14" ht="129.75" customHeight="1" x14ac:dyDescent="0.2">
      <c r="A9" s="351">
        <v>2</v>
      </c>
      <c r="B9" s="287" t="s">
        <v>200</v>
      </c>
      <c r="C9" s="539" t="s">
        <v>239</v>
      </c>
      <c r="D9" s="729"/>
      <c r="E9" s="729"/>
      <c r="F9" s="443">
        <v>4990.6801999999989</v>
      </c>
      <c r="G9" s="443">
        <v>5191.0657821999994</v>
      </c>
      <c r="H9" s="544">
        <f t="shared" ref="H9:H13" si="0">G9/F9*100</f>
        <v>104.01519580837899</v>
      </c>
      <c r="I9" s="338">
        <f t="shared" ref="I9:I12" si="1">G9/F9*100</f>
        <v>104.01519580837899</v>
      </c>
      <c r="J9" s="567">
        <f>'прил к эксп 2'!J28</f>
        <v>5191.0677999999998</v>
      </c>
      <c r="K9" s="567">
        <f>'прил к эксп 2'!K28</f>
        <v>5358.6749999999993</v>
      </c>
      <c r="L9" s="348">
        <f t="shared" ref="L9:L13" si="2">J9/G9*100</f>
        <v>100.00003887063052</v>
      </c>
      <c r="M9" s="349">
        <f>'прил к эксп 2'!I28</f>
        <v>5074.4567026506011</v>
      </c>
      <c r="N9" s="165">
        <f t="shared" ref="N9:N13" si="3">K9/J9*100</f>
        <v>103.22876152763791</v>
      </c>
    </row>
    <row r="10" spans="1:14" ht="93.75" customHeight="1" x14ac:dyDescent="0.2">
      <c r="A10" s="351">
        <v>3</v>
      </c>
      <c r="B10" s="492" t="s">
        <v>248</v>
      </c>
      <c r="C10" s="539" t="s">
        <v>239</v>
      </c>
      <c r="D10" s="729"/>
      <c r="E10" s="729"/>
      <c r="F10" s="443">
        <v>4990.6801999999989</v>
      </c>
      <c r="G10" s="443">
        <v>5191.0657821999994</v>
      </c>
      <c r="H10" s="544">
        <f t="shared" si="0"/>
        <v>104.01519580837899</v>
      </c>
      <c r="I10" s="338">
        <f t="shared" si="1"/>
        <v>104.01519580837899</v>
      </c>
      <c r="J10" s="567">
        <f>'прил к эксп 2'!J29</f>
        <v>5191.0677999999998</v>
      </c>
      <c r="K10" s="567">
        <f>'прил к эксп 2'!K29</f>
        <v>5358.6749999999993</v>
      </c>
      <c r="L10" s="348">
        <f t="shared" si="2"/>
        <v>100.00003887063052</v>
      </c>
      <c r="M10" s="349">
        <f>'прил к эксп 2'!I29</f>
        <v>5074.4567026506011</v>
      </c>
      <c r="N10" s="165">
        <f t="shared" si="3"/>
        <v>103.22876152763791</v>
      </c>
    </row>
    <row r="11" spans="1:14" ht="162" customHeight="1" x14ac:dyDescent="0.2">
      <c r="A11" s="352">
        <v>4</v>
      </c>
      <c r="B11" s="287" t="s">
        <v>246</v>
      </c>
      <c r="C11" s="539" t="s">
        <v>239</v>
      </c>
      <c r="D11" s="729"/>
      <c r="E11" s="729"/>
      <c r="F11" s="443">
        <v>4990.6801999999989</v>
      </c>
      <c r="G11" s="443">
        <v>5191.0657821999994</v>
      </c>
      <c r="H11" s="544">
        <f t="shared" si="0"/>
        <v>104.01519580837899</v>
      </c>
      <c r="I11" s="338">
        <f t="shared" si="1"/>
        <v>104.01519580837899</v>
      </c>
      <c r="J11" s="567">
        <f>'прил к эксп 2'!J30</f>
        <v>5191.0677999999998</v>
      </c>
      <c r="K11" s="567">
        <f>'прил к эксп 2'!K30</f>
        <v>5358.6749999999993</v>
      </c>
      <c r="L11" s="348">
        <f t="shared" si="2"/>
        <v>100.00003887063052</v>
      </c>
      <c r="M11" s="349">
        <f>'прил к эксп 2'!I30</f>
        <v>5074.4567026506011</v>
      </c>
      <c r="N11" s="165">
        <f t="shared" si="3"/>
        <v>103.22876152763791</v>
      </c>
    </row>
    <row r="12" spans="1:14" ht="143.25" customHeight="1" x14ac:dyDescent="0.2">
      <c r="A12" s="352">
        <v>5</v>
      </c>
      <c r="B12" s="287" t="s">
        <v>247</v>
      </c>
      <c r="C12" s="539" t="s">
        <v>239</v>
      </c>
      <c r="D12" s="729"/>
      <c r="E12" s="729"/>
      <c r="F12" s="443">
        <v>4990.6801999999989</v>
      </c>
      <c r="G12" s="443">
        <v>5191.0657821999994</v>
      </c>
      <c r="H12" s="544">
        <f t="shared" si="0"/>
        <v>104.01519580837899</v>
      </c>
      <c r="I12" s="338">
        <f t="shared" si="1"/>
        <v>104.01519580837899</v>
      </c>
      <c r="J12" s="567">
        <f>'прил к эксп 2'!J31</f>
        <v>5191.0677999999998</v>
      </c>
      <c r="K12" s="567">
        <f>'прил к эксп 2'!K31</f>
        <v>5358.6749999999993</v>
      </c>
      <c r="L12" s="348">
        <f t="shared" si="2"/>
        <v>100.00003887063052</v>
      </c>
      <c r="M12" s="349">
        <f>'прил к эксп 2'!I31</f>
        <v>5074.4567026506011</v>
      </c>
      <c r="N12" s="165">
        <f t="shared" si="3"/>
        <v>103.22876152763791</v>
      </c>
    </row>
    <row r="13" spans="1:14" ht="56.25" customHeight="1" thickBot="1" x14ac:dyDescent="0.25">
      <c r="A13" s="353">
        <v>6</v>
      </c>
      <c r="B13" s="354" t="s">
        <v>243</v>
      </c>
      <c r="C13" s="355" t="s">
        <v>239</v>
      </c>
      <c r="D13" s="730"/>
      <c r="E13" s="730"/>
      <c r="F13" s="444">
        <v>4990.6801999999989</v>
      </c>
      <c r="G13" s="444">
        <v>5191.0657821999994</v>
      </c>
      <c r="H13" s="545">
        <f t="shared" si="0"/>
        <v>104.01519580837899</v>
      </c>
      <c r="I13" s="357">
        <v>115.00000629411173</v>
      </c>
      <c r="J13" s="568">
        <f>J12</f>
        <v>5191.0677999999998</v>
      </c>
      <c r="K13" s="568">
        <f>K12</f>
        <v>5358.6749999999993</v>
      </c>
      <c r="L13" s="348">
        <f t="shared" si="2"/>
        <v>100.00003887063052</v>
      </c>
      <c r="M13" s="356">
        <v>4342.712347682741</v>
      </c>
      <c r="N13" s="165">
        <f t="shared" si="3"/>
        <v>103.22876152763791</v>
      </c>
    </row>
    <row r="14" spans="1:14" ht="20.25" hidden="1" x14ac:dyDescent="0.2">
      <c r="A14" s="728" t="s">
        <v>242</v>
      </c>
      <c r="B14" s="728"/>
      <c r="C14" s="325"/>
      <c r="D14" s="333"/>
      <c r="E14" s="333"/>
      <c r="F14" s="334"/>
      <c r="G14" s="334"/>
      <c r="H14" s="325"/>
      <c r="I14" s="335"/>
      <c r="J14" s="581">
        <f>'прил к эксп 2'!J33</f>
        <v>0</v>
      </c>
      <c r="K14" s="582"/>
      <c r="N14" s="350" t="e">
        <f>L14/G14*100</f>
        <v>#DIV/0!</v>
      </c>
    </row>
    <row r="15" spans="1:14" ht="34.5" hidden="1" customHeight="1" x14ac:dyDescent="0.25">
      <c r="A15" s="727" t="s">
        <v>241</v>
      </c>
      <c r="B15" s="727"/>
      <c r="C15" s="727"/>
      <c r="D15" s="727"/>
      <c r="E15" s="727"/>
      <c r="F15" s="727"/>
      <c r="G15" s="727"/>
      <c r="H15" s="727"/>
      <c r="I15" s="727"/>
      <c r="J15" s="349">
        <f>'прил к эксп 2'!J34</f>
        <v>0</v>
      </c>
      <c r="K15" s="583"/>
      <c r="N15" s="338" t="e">
        <f>L15/G15*100</f>
        <v>#DIV/0!</v>
      </c>
    </row>
    <row r="16" spans="1:14" ht="20.25" x14ac:dyDescent="0.2">
      <c r="A16" s="331"/>
      <c r="B16" s="332"/>
      <c r="C16" s="325"/>
      <c r="D16" s="333"/>
      <c r="E16" s="333"/>
      <c r="F16" s="334"/>
      <c r="G16" s="334"/>
      <c r="H16" s="325"/>
      <c r="I16" s="335"/>
      <c r="J16" s="582"/>
      <c r="K16" s="582"/>
    </row>
    <row r="17" spans="1:14" ht="43.5" customHeight="1" x14ac:dyDescent="0.2">
      <c r="A17" s="724" t="s">
        <v>255</v>
      </c>
      <c r="B17" s="724"/>
      <c r="C17" s="724"/>
      <c r="D17" s="724"/>
      <c r="E17" s="724"/>
      <c r="F17" s="334"/>
      <c r="G17" s="334"/>
      <c r="L17" s="718" t="s">
        <v>256</v>
      </c>
      <c r="M17" s="718"/>
      <c r="N17" s="718"/>
    </row>
    <row r="18" spans="1:14" ht="15.75" x14ac:dyDescent="0.25">
      <c r="A18" s="322"/>
    </row>
    <row r="19" spans="1:14" s="185" customFormat="1" ht="134.25" customHeight="1" x14ac:dyDescent="0.2">
      <c r="A19" s="716"/>
      <c r="B19" s="716"/>
      <c r="C19" s="716"/>
      <c r="D19" s="716"/>
      <c r="E19" s="717"/>
      <c r="F19" s="716"/>
      <c r="G19" s="717"/>
      <c r="H19" s="716"/>
      <c r="I19" s="716"/>
      <c r="J19" s="577"/>
      <c r="K19" s="577"/>
    </row>
    <row r="20" spans="1:14" s="185" customFormat="1" ht="12.75" hidden="1" customHeight="1" x14ac:dyDescent="0.2">
      <c r="A20" s="716"/>
      <c r="B20" s="716"/>
      <c r="C20" s="717"/>
      <c r="D20" s="717"/>
      <c r="E20" s="717"/>
      <c r="F20" s="717"/>
      <c r="G20" s="717"/>
      <c r="H20" s="717"/>
      <c r="I20" s="717"/>
      <c r="J20" s="584"/>
      <c r="K20" s="584"/>
    </row>
    <row r="21" spans="1:14" s="185" customFormat="1" ht="40.5" hidden="1" customHeight="1" x14ac:dyDescent="0.2">
      <c r="A21" s="716"/>
      <c r="B21" s="716"/>
      <c r="C21" s="717"/>
      <c r="D21" s="717"/>
      <c r="E21" s="717"/>
      <c r="F21" s="717"/>
      <c r="G21" s="717"/>
      <c r="H21" s="717"/>
      <c r="I21" s="717"/>
      <c r="J21" s="584"/>
      <c r="K21" s="584"/>
    </row>
    <row r="22" spans="1:14" s="185" customFormat="1" ht="12.75" hidden="1" customHeight="1" x14ac:dyDescent="0.2">
      <c r="A22" s="716"/>
      <c r="B22" s="716"/>
      <c r="C22" s="717"/>
      <c r="D22" s="717"/>
      <c r="E22" s="717"/>
      <c r="F22" s="717"/>
      <c r="G22" s="717"/>
      <c r="H22" s="717"/>
      <c r="I22" s="717"/>
      <c r="J22" s="584"/>
      <c r="K22" s="584"/>
    </row>
    <row r="23" spans="1:14" s="185" customFormat="1" ht="12.75" hidden="1" customHeight="1" x14ac:dyDescent="0.2">
      <c r="A23" s="716"/>
      <c r="B23" s="716"/>
      <c r="C23" s="717"/>
      <c r="D23" s="717"/>
      <c r="E23" s="717"/>
      <c r="F23" s="717"/>
      <c r="G23" s="717"/>
      <c r="H23" s="717"/>
      <c r="I23" s="717"/>
      <c r="J23" s="584"/>
      <c r="K23" s="584"/>
    </row>
    <row r="24" spans="1:14" s="185" customFormat="1" ht="16.5" hidden="1" customHeight="1" thickBot="1" x14ac:dyDescent="0.25">
      <c r="A24" s="716"/>
      <c r="B24" s="716"/>
      <c r="C24" s="717"/>
      <c r="D24" s="717"/>
      <c r="E24" s="717"/>
      <c r="F24" s="717"/>
      <c r="G24" s="717"/>
      <c r="H24" s="717"/>
      <c r="I24" s="717"/>
      <c r="J24" s="584"/>
      <c r="K24" s="584"/>
    </row>
    <row r="25" spans="1:14" s="185" customFormat="1" ht="36" customHeight="1" x14ac:dyDescent="0.2">
      <c r="A25" s="716"/>
      <c r="B25" s="716"/>
      <c r="C25" s="717"/>
      <c r="D25" s="325"/>
      <c r="E25" s="325"/>
      <c r="F25" s="325"/>
      <c r="G25" s="325"/>
      <c r="H25" s="717"/>
      <c r="I25" s="717"/>
      <c r="J25" s="584"/>
      <c r="K25" s="584"/>
    </row>
    <row r="26" spans="1:14" s="185" customFormat="1" ht="15.75" x14ac:dyDescent="0.2">
      <c r="A26" s="326"/>
      <c r="B26" s="326"/>
      <c r="C26" s="326"/>
      <c r="D26" s="326"/>
      <c r="E26" s="326"/>
      <c r="F26" s="326"/>
      <c r="G26" s="326"/>
      <c r="H26" s="326"/>
      <c r="I26" s="326"/>
      <c r="J26" s="585"/>
      <c r="K26" s="585"/>
    </row>
    <row r="27" spans="1:14" s="185" customFormat="1" ht="299.25" customHeight="1" x14ac:dyDescent="0.25">
      <c r="A27" s="721"/>
      <c r="B27" s="327"/>
      <c r="C27" s="326"/>
      <c r="D27" s="326"/>
      <c r="E27" s="326"/>
      <c r="F27" s="326"/>
      <c r="G27" s="326"/>
      <c r="H27" s="715"/>
      <c r="I27" s="328"/>
      <c r="J27" s="586"/>
      <c r="K27" s="586"/>
    </row>
    <row r="28" spans="1:14" s="185" customFormat="1" ht="409.5" customHeight="1" x14ac:dyDescent="0.25">
      <c r="A28" s="721"/>
      <c r="B28" s="327"/>
      <c r="C28" s="326"/>
      <c r="D28" s="326"/>
      <c r="E28" s="326"/>
      <c r="F28" s="326"/>
      <c r="G28" s="326"/>
      <c r="H28" s="715"/>
      <c r="I28" s="328"/>
      <c r="J28" s="586"/>
      <c r="K28" s="586"/>
    </row>
    <row r="29" spans="1:14" s="185" customFormat="1" ht="15.75" x14ac:dyDescent="0.2">
      <c r="A29" s="721"/>
      <c r="B29" s="329"/>
      <c r="C29" s="326"/>
      <c r="D29" s="326"/>
      <c r="E29" s="330"/>
      <c r="F29" s="326"/>
      <c r="G29" s="330"/>
      <c r="H29" s="715"/>
      <c r="I29" s="330"/>
      <c r="J29" s="587"/>
      <c r="K29" s="587"/>
    </row>
    <row r="30" spans="1:14" s="185" customFormat="1" ht="409.6" customHeight="1" x14ac:dyDescent="0.2">
      <c r="A30" s="721"/>
      <c r="B30" s="722"/>
      <c r="C30" s="326"/>
      <c r="D30" s="326"/>
      <c r="E30" s="326"/>
      <c r="F30" s="326"/>
      <c r="G30" s="326"/>
      <c r="H30" s="326"/>
      <c r="I30" s="715"/>
      <c r="J30" s="585"/>
      <c r="K30" s="585"/>
    </row>
    <row r="31" spans="1:14" s="185" customFormat="1" ht="15.75" x14ac:dyDescent="0.2">
      <c r="A31" s="721"/>
      <c r="B31" s="722"/>
      <c r="C31" s="326"/>
      <c r="D31" s="326"/>
      <c r="E31" s="326"/>
      <c r="F31" s="326"/>
      <c r="G31" s="326"/>
      <c r="H31" s="328"/>
      <c r="I31" s="715"/>
      <c r="J31" s="585"/>
      <c r="K31" s="585"/>
    </row>
    <row r="32" spans="1:14" s="185" customFormat="1" ht="15.75" x14ac:dyDescent="0.2">
      <c r="A32" s="721"/>
      <c r="B32" s="722"/>
      <c r="C32" s="326"/>
      <c r="D32" s="326"/>
      <c r="E32" s="330"/>
      <c r="F32" s="326"/>
      <c r="G32" s="330"/>
      <c r="H32" s="330"/>
      <c r="I32" s="715"/>
      <c r="J32" s="585"/>
      <c r="K32" s="585"/>
    </row>
    <row r="33" spans="1:11" s="185" customFormat="1" ht="157.5" customHeight="1" x14ac:dyDescent="0.25">
      <c r="A33" s="721"/>
      <c r="B33" s="327"/>
      <c r="C33" s="326"/>
      <c r="D33" s="326"/>
      <c r="E33" s="326"/>
      <c r="F33" s="326"/>
      <c r="G33" s="326"/>
      <c r="H33" s="326"/>
      <c r="I33" s="328"/>
      <c r="J33" s="586"/>
      <c r="K33" s="586"/>
    </row>
    <row r="34" spans="1:11" s="185" customFormat="1" ht="94.5" customHeight="1" x14ac:dyDescent="0.25">
      <c r="A34" s="721"/>
      <c r="B34" s="327"/>
      <c r="C34" s="326"/>
      <c r="D34" s="326"/>
      <c r="E34" s="326"/>
      <c r="F34" s="326"/>
      <c r="G34" s="326"/>
      <c r="H34" s="328"/>
      <c r="I34" s="328"/>
      <c r="J34" s="586"/>
      <c r="K34" s="586"/>
    </row>
    <row r="35" spans="1:11" s="185" customFormat="1" ht="15.75" x14ac:dyDescent="0.2">
      <c r="A35" s="721"/>
      <c r="B35" s="329"/>
      <c r="C35" s="326"/>
      <c r="D35" s="326"/>
      <c r="E35" s="330"/>
      <c r="F35" s="326"/>
      <c r="G35" s="330"/>
      <c r="H35" s="330"/>
      <c r="I35" s="330"/>
      <c r="J35" s="587"/>
      <c r="K35" s="587"/>
    </row>
  </sheetData>
  <mergeCells count="31">
    <mergeCell ref="K1:N1"/>
    <mergeCell ref="A17:E17"/>
    <mergeCell ref="D5:E5"/>
    <mergeCell ref="A5:A6"/>
    <mergeCell ref="B5:B6"/>
    <mergeCell ref="C5:C6"/>
    <mergeCell ref="F5:G5"/>
    <mergeCell ref="H5:H6"/>
    <mergeCell ref="A15:I15"/>
    <mergeCell ref="A14:B14"/>
    <mergeCell ref="I5:I6"/>
    <mergeCell ref="D8:D13"/>
    <mergeCell ref="E8:E13"/>
    <mergeCell ref="N5:N6"/>
    <mergeCell ref="A3:N3"/>
    <mergeCell ref="J5:K5"/>
    <mergeCell ref="A33:A35"/>
    <mergeCell ref="D19:E24"/>
    <mergeCell ref="A19:A25"/>
    <mergeCell ref="C19:C25"/>
    <mergeCell ref="H19:H25"/>
    <mergeCell ref="F19:G24"/>
    <mergeCell ref="A27:A29"/>
    <mergeCell ref="H27:H29"/>
    <mergeCell ref="A30:A32"/>
    <mergeCell ref="B30:B32"/>
    <mergeCell ref="I30:I32"/>
    <mergeCell ref="B19:B25"/>
    <mergeCell ref="I19:I25"/>
    <mergeCell ref="L17:N17"/>
    <mergeCell ref="L5:M6"/>
  </mergeCells>
  <printOptions horizontalCentered="1"/>
  <pageMargins left="0.51181102362204722" right="0.51181102362204722" top="0.74803149606299213" bottom="0.74803149606299213" header="0" footer="0"/>
  <pageSetup paperSize="9" scale="5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Y99"/>
  <sheetViews>
    <sheetView view="pageBreakPreview" zoomScale="82" zoomScaleNormal="78" zoomScaleSheetLayoutView="82" workbookViewId="0">
      <selection activeCell="M1" sqref="M1:O1"/>
    </sheetView>
  </sheetViews>
  <sheetFormatPr defaultRowHeight="12.75" x14ac:dyDescent="0.2"/>
  <cols>
    <col min="1" max="1" width="5.5703125" customWidth="1"/>
    <col min="2" max="2" width="66.140625" customWidth="1"/>
    <col min="3" max="3" width="14.42578125" customWidth="1"/>
    <col min="4" max="4" width="15.140625" hidden="1" customWidth="1"/>
    <col min="5" max="5" width="15" hidden="1" customWidth="1"/>
    <col min="6" max="6" width="16.5703125" style="264" hidden="1" customWidth="1"/>
    <col min="7" max="7" width="18.7109375" style="264" hidden="1" customWidth="1"/>
    <col min="8" max="8" width="15" hidden="1" customWidth="1"/>
    <col min="9" max="9" width="15.5703125" hidden="1" customWidth="1"/>
    <col min="10" max="10" width="18.42578125" style="440" customWidth="1"/>
    <col min="11" max="11" width="17.85546875" style="440" customWidth="1"/>
    <col min="12" max="12" width="15.42578125" style="440" customWidth="1"/>
    <col min="13" max="13" width="15.140625" style="440" customWidth="1"/>
    <col min="14" max="14" width="15.7109375" style="440" customWidth="1"/>
    <col min="15" max="15" width="17.140625" customWidth="1"/>
    <col min="16" max="16" width="34" customWidth="1"/>
    <col min="17" max="17" width="42.28515625" customWidth="1"/>
    <col min="18" max="18" width="19.28515625" customWidth="1"/>
    <col min="19" max="19" width="16.85546875" customWidth="1"/>
  </cols>
  <sheetData>
    <row r="1" spans="1:25" ht="57" customHeight="1" x14ac:dyDescent="0.3">
      <c r="A1" s="289"/>
      <c r="B1" s="289"/>
      <c r="C1" s="289"/>
      <c r="D1" s="289"/>
      <c r="E1" s="289"/>
      <c r="F1" s="289"/>
      <c r="G1" s="289"/>
      <c r="L1" s="442"/>
      <c r="M1" s="778" t="s">
        <v>289</v>
      </c>
      <c r="N1" s="778"/>
      <c r="O1" s="778"/>
      <c r="P1" s="433"/>
      <c r="Y1" s="112" t="s">
        <v>115</v>
      </c>
    </row>
    <row r="2" spans="1:25" ht="58.5" customHeight="1" x14ac:dyDescent="0.2">
      <c r="A2" s="735" t="s">
        <v>271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  <c r="O2" s="735"/>
      <c r="P2" s="435"/>
      <c r="Q2" s="235"/>
      <c r="R2" s="184" t="s">
        <v>187</v>
      </c>
      <c r="Y2" s="113">
        <v>1.18</v>
      </c>
    </row>
    <row r="3" spans="1:25" ht="12.75" customHeight="1" x14ac:dyDescent="0.2">
      <c r="A3" s="704"/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435"/>
      <c r="Q3" s="122"/>
      <c r="Y3" s="123"/>
    </row>
    <row r="4" spans="1:25" ht="82.5" customHeight="1" x14ac:dyDescent="0.2">
      <c r="A4" s="288" t="s">
        <v>1</v>
      </c>
      <c r="B4" s="631" t="s">
        <v>49</v>
      </c>
      <c r="C4" s="631" t="s">
        <v>50</v>
      </c>
      <c r="D4" s="632" t="s">
        <v>266</v>
      </c>
      <c r="E4" s="632" t="s">
        <v>267</v>
      </c>
      <c r="F4" s="632" t="s">
        <v>210</v>
      </c>
      <c r="G4" s="632" t="s">
        <v>211</v>
      </c>
      <c r="H4" s="632" t="s">
        <v>257</v>
      </c>
      <c r="I4" s="632" t="s">
        <v>278</v>
      </c>
      <c r="J4" s="632" t="s">
        <v>272</v>
      </c>
      <c r="K4" s="632" t="s">
        <v>273</v>
      </c>
      <c r="L4" s="632" t="s">
        <v>279</v>
      </c>
      <c r="M4" s="632" t="s">
        <v>286</v>
      </c>
      <c r="N4" s="632" t="s">
        <v>284</v>
      </c>
      <c r="O4" s="631" t="s">
        <v>285</v>
      </c>
      <c r="P4" s="457"/>
      <c r="Y4" s="123">
        <v>1.2</v>
      </c>
    </row>
    <row r="5" spans="1:25" ht="20.25" customHeight="1" x14ac:dyDescent="0.2">
      <c r="A5" s="288">
        <v>1</v>
      </c>
      <c r="B5" s="631">
        <v>2</v>
      </c>
      <c r="C5" s="631">
        <v>3</v>
      </c>
      <c r="D5" s="632">
        <v>4</v>
      </c>
      <c r="E5" s="632">
        <v>5</v>
      </c>
      <c r="F5" s="632"/>
      <c r="G5" s="632">
        <v>5</v>
      </c>
      <c r="H5" s="632">
        <v>6</v>
      </c>
      <c r="I5" s="632">
        <v>7</v>
      </c>
      <c r="J5" s="632">
        <v>4</v>
      </c>
      <c r="K5" s="632">
        <v>5</v>
      </c>
      <c r="L5" s="632">
        <v>6</v>
      </c>
      <c r="M5" s="632">
        <v>7</v>
      </c>
      <c r="N5" s="632">
        <v>8</v>
      </c>
      <c r="O5" s="631">
        <v>9</v>
      </c>
      <c r="P5" s="457"/>
      <c r="Q5">
        <f>Q7+Q8+Q9+Q10+Q11</f>
        <v>100.00000000000001</v>
      </c>
      <c r="R5" s="311">
        <f t="shared" ref="R5:S5" si="0">R7+R8+R9+R10+R11</f>
        <v>100</v>
      </c>
      <c r="S5" s="311">
        <f t="shared" si="0"/>
        <v>100</v>
      </c>
      <c r="Y5" s="123"/>
    </row>
    <row r="6" spans="1:25" ht="26.25" customHeight="1" x14ac:dyDescent="0.2">
      <c r="A6" s="285">
        <v>1</v>
      </c>
      <c r="B6" s="649" t="s">
        <v>249</v>
      </c>
      <c r="C6" s="633" t="s">
        <v>65</v>
      </c>
      <c r="D6" s="634">
        <f>D7+D8+D9+D10+D11</f>
        <v>241.49999999999997</v>
      </c>
      <c r="E6" s="634">
        <f>E7+E8+E9+E10+E11</f>
        <v>173.49999999999997</v>
      </c>
      <c r="F6" s="634">
        <f t="shared" ref="F6" si="1">F7+F8+F9+F10+F11</f>
        <v>415</v>
      </c>
      <c r="G6" s="634">
        <v>249.4</v>
      </c>
      <c r="H6" s="635">
        <f>E6/D6*100</f>
        <v>71.842650103519674</v>
      </c>
      <c r="I6" s="634">
        <f t="shared" ref="I6" si="2">I7+I8+I9+I10+I11</f>
        <v>415</v>
      </c>
      <c r="J6" s="636">
        <f>J7+J8+J9+J10+J11</f>
        <v>231.29999999999998</v>
      </c>
      <c r="K6" s="636">
        <f>K7+K8+K9+K10+K11</f>
        <v>177.89999999999998</v>
      </c>
      <c r="L6" s="636">
        <f>L7+L8+L9+L10+L11</f>
        <v>409.19999999999993</v>
      </c>
      <c r="M6" s="636">
        <f>K6/J6*100</f>
        <v>76.913099870298311</v>
      </c>
      <c r="N6" s="636">
        <f>N7+N8+N9+N10+N11</f>
        <v>177.89999999999998</v>
      </c>
      <c r="O6" s="637">
        <f>N6/K6*100</f>
        <v>100</v>
      </c>
      <c r="P6" s="458"/>
      <c r="Q6">
        <f>'прил к эксп 2'!D6*100/'прил к эксп 2'!D6</f>
        <v>100</v>
      </c>
      <c r="R6">
        <f>'прил к эксп 2'!E6*100/'прил к эксп 2'!E6</f>
        <v>100</v>
      </c>
      <c r="S6">
        <f>I6*100/I6</f>
        <v>100</v>
      </c>
    </row>
    <row r="7" spans="1:25" ht="105.75" customHeight="1" x14ac:dyDescent="0.2">
      <c r="A7" s="312">
        <v>1</v>
      </c>
      <c r="B7" s="638" t="s">
        <v>214</v>
      </c>
      <c r="C7" s="633" t="s">
        <v>65</v>
      </c>
      <c r="D7" s="636">
        <v>16.420000000000002</v>
      </c>
      <c r="E7" s="636">
        <v>16.100000000000001</v>
      </c>
      <c r="F7" s="636">
        <f t="shared" ref="F7:F11" si="3">D7+E7</f>
        <v>32.520000000000003</v>
      </c>
      <c r="G7" s="636">
        <v>18</v>
      </c>
      <c r="H7" s="636">
        <f t="shared" ref="H7:H11" si="4">E7/D7*100</f>
        <v>98.051157125456754</v>
      </c>
      <c r="I7" s="639">
        <f>D7+E7</f>
        <v>32.520000000000003</v>
      </c>
      <c r="J7" s="636">
        <v>15</v>
      </c>
      <c r="K7" s="636">
        <v>15</v>
      </c>
      <c r="L7" s="636">
        <f>J7+K7</f>
        <v>30</v>
      </c>
      <c r="M7" s="636">
        <f>K7/J7*100</f>
        <v>100</v>
      </c>
      <c r="N7" s="636">
        <v>15</v>
      </c>
      <c r="O7" s="637">
        <f>N7/K7*100</f>
        <v>100</v>
      </c>
      <c r="P7" s="458"/>
      <c r="Q7" s="175">
        <f>D7*100/D6</f>
        <v>6.7991718426501055</v>
      </c>
      <c r="R7" s="175">
        <f>E7*100/E6</f>
        <v>9.2795389048991375</v>
      </c>
      <c r="S7">
        <f>I7*100/I6</f>
        <v>7.8361445783132542</v>
      </c>
    </row>
    <row r="8" spans="1:25" ht="87.75" customHeight="1" x14ac:dyDescent="0.2">
      <c r="A8" s="312">
        <v>2</v>
      </c>
      <c r="B8" s="638" t="s">
        <v>200</v>
      </c>
      <c r="C8" s="633" t="s">
        <v>65</v>
      </c>
      <c r="D8" s="636">
        <v>8.34</v>
      </c>
      <c r="E8" s="636">
        <v>8.3800000000000008</v>
      </c>
      <c r="F8" s="636">
        <f t="shared" si="3"/>
        <v>16.72</v>
      </c>
      <c r="G8" s="636">
        <v>9.0500000000000007</v>
      </c>
      <c r="H8" s="636">
        <f t="shared" si="4"/>
        <v>100.47961630695445</v>
      </c>
      <c r="I8" s="639">
        <f t="shared" ref="I8:I11" si="5">D8+E8</f>
        <v>16.72</v>
      </c>
      <c r="J8" s="639">
        <v>9</v>
      </c>
      <c r="K8" s="636">
        <v>9</v>
      </c>
      <c r="L8" s="636">
        <f>J8+K8</f>
        <v>18</v>
      </c>
      <c r="M8" s="636">
        <f t="shared" ref="M8:M71" si="6">K8/J8*100</f>
        <v>100</v>
      </c>
      <c r="N8" s="636">
        <v>9</v>
      </c>
      <c r="O8" s="637">
        <f t="shared" ref="O8:O31" si="7">N8/K8*100</f>
        <v>100</v>
      </c>
      <c r="P8" s="458"/>
      <c r="Q8">
        <f>D8*100/D6</f>
        <v>3.4534161490683233</v>
      </c>
      <c r="R8" s="243">
        <f>E8*100/E6</f>
        <v>4.8299711815561972</v>
      </c>
      <c r="S8">
        <f>I8*100/I6</f>
        <v>4.0289156626506024</v>
      </c>
    </row>
    <row r="9" spans="1:25" ht="72.75" customHeight="1" x14ac:dyDescent="0.2">
      <c r="A9" s="312">
        <v>3</v>
      </c>
      <c r="B9" s="640" t="s">
        <v>248</v>
      </c>
      <c r="C9" s="633" t="s">
        <v>65</v>
      </c>
      <c r="D9" s="636">
        <v>216.333</v>
      </c>
      <c r="E9" s="636">
        <v>148.74199999999999</v>
      </c>
      <c r="F9" s="636">
        <f t="shared" si="3"/>
        <v>365.07499999999999</v>
      </c>
      <c r="G9" s="636">
        <v>221.99100000000001</v>
      </c>
      <c r="H9" s="636">
        <f t="shared" si="4"/>
        <v>68.756038144896976</v>
      </c>
      <c r="I9" s="639">
        <f t="shared" si="5"/>
        <v>365.07499999999999</v>
      </c>
      <c r="J9" s="639">
        <v>206.79499999999999</v>
      </c>
      <c r="K9" s="636">
        <v>153.55699999999999</v>
      </c>
      <c r="L9" s="639">
        <f>J9+K9</f>
        <v>360.35199999999998</v>
      </c>
      <c r="M9" s="636">
        <f t="shared" si="6"/>
        <v>74.255663821659141</v>
      </c>
      <c r="N9" s="636">
        <v>153.55699999999999</v>
      </c>
      <c r="O9" s="637">
        <f t="shared" si="7"/>
        <v>100</v>
      </c>
      <c r="P9" s="458"/>
      <c r="Q9">
        <f>D9*100/D6</f>
        <v>89.578881987577645</v>
      </c>
      <c r="R9">
        <f>E9*100/E6</f>
        <v>85.730259365994243</v>
      </c>
      <c r="S9">
        <f>I9*100/I6</f>
        <v>87.96987951807229</v>
      </c>
    </row>
    <row r="10" spans="1:25" ht="105" customHeight="1" x14ac:dyDescent="0.2">
      <c r="A10" s="312">
        <v>4</v>
      </c>
      <c r="B10" s="638" t="s">
        <v>246</v>
      </c>
      <c r="C10" s="633" t="s">
        <v>65</v>
      </c>
      <c r="D10" s="641">
        <v>5.7000000000000002E-2</v>
      </c>
      <c r="E10" s="641">
        <v>3.4000000000000002E-2</v>
      </c>
      <c r="F10" s="636">
        <f t="shared" si="3"/>
        <v>9.0999999999999998E-2</v>
      </c>
      <c r="G10" s="636">
        <v>1.4E-2</v>
      </c>
      <c r="H10" s="636">
        <f t="shared" si="4"/>
        <v>59.649122807017541</v>
      </c>
      <c r="I10" s="639">
        <f t="shared" si="5"/>
        <v>9.0999999999999998E-2</v>
      </c>
      <c r="J10" s="641">
        <v>0.114</v>
      </c>
      <c r="K10" s="641">
        <v>4.8000000000000001E-2</v>
      </c>
      <c r="L10" s="639">
        <f>J10+K10</f>
        <v>0.16200000000000001</v>
      </c>
      <c r="M10" s="636">
        <f t="shared" si="6"/>
        <v>42.105263157894733</v>
      </c>
      <c r="N10" s="636">
        <v>4.8000000000000001E-2</v>
      </c>
      <c r="O10" s="637">
        <f t="shared" si="7"/>
        <v>100</v>
      </c>
      <c r="P10" s="458"/>
      <c r="Q10">
        <f>D10*100/D6</f>
        <v>2.3602484472049694E-2</v>
      </c>
      <c r="R10">
        <f>E10*100/E6</f>
        <v>1.959654178674352E-2</v>
      </c>
      <c r="S10">
        <f>I10*100/I6</f>
        <v>2.1927710843373492E-2</v>
      </c>
    </row>
    <row r="11" spans="1:25" ht="105" customHeight="1" x14ac:dyDescent="0.2">
      <c r="A11" s="312">
        <v>5</v>
      </c>
      <c r="B11" s="638" t="s">
        <v>247</v>
      </c>
      <c r="C11" s="633" t="s">
        <v>65</v>
      </c>
      <c r="D11" s="641">
        <v>0.35</v>
      </c>
      <c r="E11" s="641">
        <v>0.24399999999999999</v>
      </c>
      <c r="F11" s="636">
        <f t="shared" si="3"/>
        <v>0.59399999999999997</v>
      </c>
      <c r="G11" s="636">
        <v>0.34499999999999997</v>
      </c>
      <c r="H11" s="636">
        <f t="shared" si="4"/>
        <v>69.714285714285722</v>
      </c>
      <c r="I11" s="639">
        <f t="shared" si="5"/>
        <v>0.59399999999999997</v>
      </c>
      <c r="J11" s="639">
        <v>0.39100000000000001</v>
      </c>
      <c r="K11" s="639">
        <v>0.29499999999999998</v>
      </c>
      <c r="L11" s="639">
        <f>J11+K11</f>
        <v>0.68599999999999994</v>
      </c>
      <c r="M11" s="636">
        <f>K11/J11*100</f>
        <v>75.447570332480808</v>
      </c>
      <c r="N11" s="636">
        <v>0.29499999999999998</v>
      </c>
      <c r="O11" s="637">
        <f t="shared" si="7"/>
        <v>100</v>
      </c>
      <c r="P11" s="458"/>
      <c r="Q11">
        <f>D11*100/D6</f>
        <v>0.14492753623188406</v>
      </c>
      <c r="R11">
        <f>E11*100/E6</f>
        <v>0.14063400576368879</v>
      </c>
      <c r="S11">
        <f>I11*100/I6</f>
        <v>0.14313253012048194</v>
      </c>
    </row>
    <row r="12" spans="1:25" ht="1.5" hidden="1" customHeight="1" x14ac:dyDescent="0.2">
      <c r="A12" s="312"/>
      <c r="B12" s="638"/>
      <c r="C12" s="633"/>
      <c r="D12" s="641"/>
      <c r="E12" s="641"/>
      <c r="F12" s="636"/>
      <c r="G12" s="636"/>
      <c r="H12" s="642"/>
      <c r="I12" s="641"/>
      <c r="J12" s="641">
        <v>0.35</v>
      </c>
      <c r="K12" s="641">
        <v>0.24399999999999999</v>
      </c>
      <c r="L12" s="641"/>
      <c r="M12" s="636">
        <f t="shared" si="6"/>
        <v>69.714285714285722</v>
      </c>
      <c r="N12" s="636">
        <v>0.24399999999999999</v>
      </c>
      <c r="O12" s="637">
        <f t="shared" si="7"/>
        <v>100</v>
      </c>
      <c r="P12" s="458"/>
    </row>
    <row r="13" spans="1:25" ht="21" customHeight="1" x14ac:dyDescent="0.2">
      <c r="A13" s="285">
        <v>2</v>
      </c>
      <c r="B13" s="638" t="s">
        <v>15</v>
      </c>
      <c r="C13" s="633" t="s">
        <v>72</v>
      </c>
      <c r="D13" s="636">
        <v>3206</v>
      </c>
      <c r="E13" s="636">
        <v>3331</v>
      </c>
      <c r="F13" s="636">
        <v>3170.0975903614458</v>
      </c>
      <c r="G13" s="636">
        <v>2924</v>
      </c>
      <c r="H13" s="642">
        <f>E13/D13*100</f>
        <v>103.89893948845913</v>
      </c>
      <c r="I13" s="636">
        <f>($D13*$D$6+$E13*$E$6)/$I$6</f>
        <v>3258.2590361445777</v>
      </c>
      <c r="J13" s="636">
        <v>3331</v>
      </c>
      <c r="K13" s="636">
        <v>3444</v>
      </c>
      <c r="L13" s="643">
        <v>3380.126832844574</v>
      </c>
      <c r="M13" s="636">
        <f t="shared" si="6"/>
        <v>103.39237466226359</v>
      </c>
      <c r="N13" s="636">
        <v>3444</v>
      </c>
      <c r="O13" s="637">
        <f t="shared" si="7"/>
        <v>100</v>
      </c>
      <c r="P13" s="458"/>
    </row>
    <row r="14" spans="1:25" ht="23.25" customHeight="1" x14ac:dyDescent="0.2">
      <c r="A14" s="285">
        <v>3</v>
      </c>
      <c r="B14" s="638" t="s">
        <v>16</v>
      </c>
      <c r="C14" s="633" t="s">
        <v>72</v>
      </c>
      <c r="D14" s="636">
        <v>817.28</v>
      </c>
      <c r="E14" s="636">
        <v>854.06</v>
      </c>
      <c r="F14" s="636">
        <v>792.99743373493959</v>
      </c>
      <c r="G14" s="636">
        <v>720.62</v>
      </c>
      <c r="H14" s="642">
        <f>E14/D14*100</f>
        <v>104.50029365700861</v>
      </c>
      <c r="I14" s="636">
        <f>($D14*$D$6+$E14*$E$6)/$I$6</f>
        <v>832.65669879518055</v>
      </c>
      <c r="J14" s="636">
        <v>854.06</v>
      </c>
      <c r="K14" s="636">
        <v>883.1</v>
      </c>
      <c r="L14" s="643">
        <v>866.68516129032253</v>
      </c>
      <c r="M14" s="636">
        <f t="shared" si="6"/>
        <v>103.40022949207317</v>
      </c>
      <c r="N14" s="636">
        <v>883.1</v>
      </c>
      <c r="O14" s="637">
        <f t="shared" si="7"/>
        <v>100</v>
      </c>
      <c r="P14" s="458"/>
    </row>
    <row r="15" spans="1:25" ht="24.75" customHeight="1" x14ac:dyDescent="0.2">
      <c r="A15" s="285">
        <v>4</v>
      </c>
      <c r="B15" s="638" t="s">
        <v>17</v>
      </c>
      <c r="C15" s="633" t="s">
        <v>72</v>
      </c>
      <c r="D15" s="636">
        <v>206.11</v>
      </c>
      <c r="E15" s="636">
        <v>214.15</v>
      </c>
      <c r="F15" s="636">
        <v>203.80768674698797</v>
      </c>
      <c r="G15" s="636">
        <v>187.97</v>
      </c>
      <c r="H15" s="642">
        <f>E15/D15*100</f>
        <v>103.90082965406822</v>
      </c>
      <c r="I15" s="636">
        <f>($D15*$D$6+$E15*$E$6)/$I$6</f>
        <v>209.47130120481927</v>
      </c>
      <c r="J15" s="636">
        <v>214.15</v>
      </c>
      <c r="K15" s="636">
        <v>214.15</v>
      </c>
      <c r="L15" s="643">
        <v>214.15</v>
      </c>
      <c r="M15" s="636">
        <f t="shared" si="6"/>
        <v>100</v>
      </c>
      <c r="N15" s="636">
        <v>214.15</v>
      </c>
      <c r="O15" s="637">
        <f t="shared" si="7"/>
        <v>100</v>
      </c>
      <c r="P15" s="458"/>
    </row>
    <row r="16" spans="1:25" s="187" customFormat="1" ht="24.75" customHeight="1" x14ac:dyDescent="0.25">
      <c r="A16" s="285">
        <v>5</v>
      </c>
      <c r="B16" s="644" t="s">
        <v>114</v>
      </c>
      <c r="C16" s="633" t="s">
        <v>72</v>
      </c>
      <c r="D16" s="636">
        <f t="shared" ref="D16:G16" si="8">(D15*D6+D6*D14)/D6</f>
        <v>1023.39</v>
      </c>
      <c r="E16" s="636">
        <f t="shared" si="8"/>
        <v>1068.21</v>
      </c>
      <c r="F16" s="636">
        <f t="shared" si="8"/>
        <v>996.80512048192759</v>
      </c>
      <c r="G16" s="636">
        <f t="shared" si="8"/>
        <v>908.58999999999992</v>
      </c>
      <c r="H16" s="642">
        <f>E16/D16*100</f>
        <v>104.37956204379562</v>
      </c>
      <c r="I16" s="636">
        <f>($D16*$D$6+$E16*$E$6)/$I$6</f>
        <v>1042.1279999999999</v>
      </c>
      <c r="J16" s="636">
        <f t="shared" ref="J16" si="9">(J15*J6+J6*J14)/J6</f>
        <v>1068.21</v>
      </c>
      <c r="K16" s="636">
        <v>1097.25</v>
      </c>
      <c r="L16" s="643">
        <v>1080.8351612903225</v>
      </c>
      <c r="M16" s="636">
        <f t="shared" si="6"/>
        <v>102.71856657398826</v>
      </c>
      <c r="N16" s="636">
        <f t="shared" ref="N16" si="10">(N15*N6+N6*N14)/N6</f>
        <v>1097.25</v>
      </c>
      <c r="O16" s="637">
        <f t="shared" si="7"/>
        <v>100</v>
      </c>
      <c r="P16" s="458"/>
    </row>
    <row r="17" spans="1:19" ht="27.75" customHeight="1" x14ac:dyDescent="0.25">
      <c r="A17" s="285">
        <v>6</v>
      </c>
      <c r="B17" s="644" t="s">
        <v>116</v>
      </c>
      <c r="C17" s="633" t="s">
        <v>72</v>
      </c>
      <c r="D17" s="636">
        <f t="shared" ref="D17:G17" si="11">(D13+D16)</f>
        <v>4229.3900000000003</v>
      </c>
      <c r="E17" s="636">
        <f t="shared" si="11"/>
        <v>4399.21</v>
      </c>
      <c r="F17" s="636">
        <f t="shared" si="11"/>
        <v>4166.9027108433729</v>
      </c>
      <c r="G17" s="636">
        <f t="shared" si="11"/>
        <v>3832.59</v>
      </c>
      <c r="H17" s="642">
        <f t="shared" ref="H17:H19" si="12">E17/D17*100</f>
        <v>104.01523623974143</v>
      </c>
      <c r="I17" s="636">
        <f t="shared" ref="I17:J17" si="13">(I13+I16)</f>
        <v>4300.3870361445779</v>
      </c>
      <c r="J17" s="636">
        <f t="shared" si="13"/>
        <v>4399.21</v>
      </c>
      <c r="K17" s="636">
        <v>4541.25</v>
      </c>
      <c r="L17" s="643">
        <v>4460.9619941348965</v>
      </c>
      <c r="M17" s="636">
        <f>K17/J17*100</f>
        <v>103.22876152763791</v>
      </c>
      <c r="N17" s="636">
        <f t="shared" ref="N17" si="14">(N13+N16)</f>
        <v>4541.25</v>
      </c>
      <c r="O17" s="637">
        <f t="shared" si="7"/>
        <v>100</v>
      </c>
      <c r="P17" s="458"/>
    </row>
    <row r="18" spans="1:19" s="187" customFormat="1" ht="25.5" customHeight="1" x14ac:dyDescent="0.25">
      <c r="A18" s="285">
        <v>7</v>
      </c>
      <c r="B18" s="644" t="s">
        <v>245</v>
      </c>
      <c r="C18" s="633" t="s">
        <v>72</v>
      </c>
      <c r="D18" s="634">
        <f t="shared" ref="D18:E18" si="15">D17*$Y$2</f>
        <v>4990.6801999999998</v>
      </c>
      <c r="E18" s="634">
        <f t="shared" si="15"/>
        <v>5191.0677999999998</v>
      </c>
      <c r="F18" s="634" t="e">
        <f>(#REF!*#REF!+#REF!*#REF!)/C6</f>
        <v>#REF!</v>
      </c>
      <c r="G18" s="634">
        <f t="shared" ref="G18" si="16">G17*$Y$2</f>
        <v>4522.4561999999996</v>
      </c>
      <c r="H18" s="642">
        <f t="shared" si="12"/>
        <v>104.01523623974143</v>
      </c>
      <c r="I18" s="634">
        <f>I17*1.18</f>
        <v>5074.456702650602</v>
      </c>
      <c r="J18" s="634">
        <f>J17*$Y$2</f>
        <v>5191.0677999999998</v>
      </c>
      <c r="K18" s="634">
        <v>5358.6749999999993</v>
      </c>
      <c r="L18" s="645">
        <v>5263.9351530791773</v>
      </c>
      <c r="M18" s="634">
        <f t="shared" si="6"/>
        <v>103.22876152763791</v>
      </c>
      <c r="N18" s="634">
        <f>N17*$Y$4</f>
        <v>5449.5</v>
      </c>
      <c r="O18" s="650">
        <f t="shared" si="7"/>
        <v>101.6949152542373</v>
      </c>
      <c r="P18" s="458"/>
    </row>
    <row r="19" spans="1:19" s="187" customFormat="1" ht="24.75" customHeight="1" x14ac:dyDescent="0.2">
      <c r="A19" s="285">
        <v>8</v>
      </c>
      <c r="B19" s="651" t="s">
        <v>118</v>
      </c>
      <c r="C19" s="633" t="s">
        <v>72</v>
      </c>
      <c r="D19" s="634">
        <f t="shared" ref="D19:G19" si="17">D16*D6/(D7*D21+D8*D22+D9*D23+D24*D10+D25*D11)</f>
        <v>639.61874999999986</v>
      </c>
      <c r="E19" s="634">
        <f t="shared" si="17"/>
        <v>667.6312499999998</v>
      </c>
      <c r="F19" s="634">
        <f t="shared" si="17"/>
        <v>623.00320030120486</v>
      </c>
      <c r="G19" s="634">
        <f t="shared" si="17"/>
        <v>567.86874999999998</v>
      </c>
      <c r="H19" s="642">
        <f t="shared" si="12"/>
        <v>104.37956204379562</v>
      </c>
      <c r="I19" s="634">
        <v>623.00320030120474</v>
      </c>
      <c r="J19" s="636">
        <f>J16*J6/(J7*J21+J8*J22+J9*J23+J24*J10+J25*J11)</f>
        <v>667.63125000000002</v>
      </c>
      <c r="K19" s="636">
        <v>685.78125</v>
      </c>
      <c r="L19" s="643">
        <v>675.52197580645168</v>
      </c>
      <c r="M19" s="636">
        <f t="shared" si="6"/>
        <v>102.71856657398826</v>
      </c>
      <c r="N19" s="636">
        <f>N16*N6/(N7*N21+N8*N22+N9*N23+N24*N10+N25*N11)</f>
        <v>685.78125</v>
      </c>
      <c r="O19" s="637">
        <f t="shared" si="7"/>
        <v>100</v>
      </c>
      <c r="P19" s="458"/>
    </row>
    <row r="20" spans="1:19" ht="19.5" customHeight="1" x14ac:dyDescent="0.25">
      <c r="A20" s="303">
        <v>9</v>
      </c>
      <c r="B20" s="644" t="s">
        <v>223</v>
      </c>
      <c r="C20" s="646"/>
      <c r="D20" s="636"/>
      <c r="E20" s="636"/>
      <c r="F20" s="636"/>
      <c r="G20" s="636"/>
      <c r="H20" s="642"/>
      <c r="I20" s="636"/>
      <c r="J20" s="636"/>
      <c r="K20" s="636"/>
      <c r="L20" s="636"/>
      <c r="M20" s="636"/>
      <c r="N20" s="636"/>
      <c r="O20" s="637"/>
      <c r="P20" s="458"/>
    </row>
    <row r="21" spans="1:19" ht="111.75" customHeight="1" x14ac:dyDescent="0.2">
      <c r="A21" s="312">
        <v>1</v>
      </c>
      <c r="B21" s="638" t="s">
        <v>214</v>
      </c>
      <c r="C21" s="646"/>
      <c r="D21" s="636">
        <v>1.6</v>
      </c>
      <c r="E21" s="636">
        <f t="shared" ref="E21" si="18">D21</f>
        <v>1.6</v>
      </c>
      <c r="F21" s="636">
        <v>1.6</v>
      </c>
      <c r="G21" s="636">
        <v>1.6</v>
      </c>
      <c r="H21" s="642">
        <f>E21/D21*100</f>
        <v>100</v>
      </c>
      <c r="I21" s="639">
        <v>1.6</v>
      </c>
      <c r="J21" s="636">
        <v>1.6</v>
      </c>
      <c r="K21" s="636">
        <f>J21</f>
        <v>1.6</v>
      </c>
      <c r="L21" s="636">
        <v>1.6</v>
      </c>
      <c r="M21" s="636">
        <f t="shared" si="6"/>
        <v>100</v>
      </c>
      <c r="N21" s="636">
        <f>K21</f>
        <v>1.6</v>
      </c>
      <c r="O21" s="637">
        <f t="shared" si="7"/>
        <v>100</v>
      </c>
      <c r="P21" s="458"/>
      <c r="R21" s="250" t="s">
        <v>195</v>
      </c>
      <c r="S21" s="250" t="s">
        <v>208</v>
      </c>
    </row>
    <row r="22" spans="1:19" ht="93.75" customHeight="1" x14ac:dyDescent="0.2">
      <c r="A22" s="312">
        <v>2</v>
      </c>
      <c r="B22" s="638" t="s">
        <v>200</v>
      </c>
      <c r="C22" s="646"/>
      <c r="D22" s="636">
        <v>1.6</v>
      </c>
      <c r="E22" s="636">
        <f t="shared" ref="E22" si="19">D22</f>
        <v>1.6</v>
      </c>
      <c r="F22" s="636">
        <v>1.6</v>
      </c>
      <c r="G22" s="636">
        <v>1.6</v>
      </c>
      <c r="H22" s="642">
        <f t="shared" ref="H22:H85" si="20">E22/D22*100</f>
        <v>100</v>
      </c>
      <c r="I22" s="639">
        <v>1.6</v>
      </c>
      <c r="J22" s="636">
        <v>1.6</v>
      </c>
      <c r="K22" s="636">
        <f>J22</f>
        <v>1.6</v>
      </c>
      <c r="L22" s="636">
        <v>1.6</v>
      </c>
      <c r="M22" s="636">
        <f t="shared" si="6"/>
        <v>100</v>
      </c>
      <c r="N22" s="636">
        <f t="shared" ref="N22:N25" si="21">K22</f>
        <v>1.6</v>
      </c>
      <c r="O22" s="637">
        <f t="shared" si="7"/>
        <v>100</v>
      </c>
      <c r="P22" s="458"/>
      <c r="R22" s="248">
        <f>R73</f>
        <v>900650.26329999976</v>
      </c>
      <c r="S22" s="249">
        <f>E27*E7+E8*E28+E29*E9</f>
        <v>899207.1464515999</v>
      </c>
    </row>
    <row r="23" spans="1:19" ht="57" customHeight="1" x14ac:dyDescent="0.2">
      <c r="A23" s="312">
        <v>3</v>
      </c>
      <c r="B23" s="640" t="s">
        <v>248</v>
      </c>
      <c r="C23" s="646"/>
      <c r="D23" s="636">
        <v>1.6</v>
      </c>
      <c r="E23" s="636">
        <f t="shared" ref="E23" si="22">D23</f>
        <v>1.6</v>
      </c>
      <c r="F23" s="636">
        <v>1.6</v>
      </c>
      <c r="G23" s="636">
        <v>1.6</v>
      </c>
      <c r="H23" s="642">
        <f t="shared" si="20"/>
        <v>100</v>
      </c>
      <c r="I23" s="639">
        <v>1.6</v>
      </c>
      <c r="J23" s="636">
        <v>1.6</v>
      </c>
      <c r="K23" s="636">
        <f>J23</f>
        <v>1.6</v>
      </c>
      <c r="L23" s="636">
        <v>1.6</v>
      </c>
      <c r="M23" s="636">
        <f t="shared" si="6"/>
        <v>100</v>
      </c>
      <c r="N23" s="636">
        <f t="shared" si="21"/>
        <v>1.6</v>
      </c>
      <c r="O23" s="637">
        <f t="shared" si="7"/>
        <v>100</v>
      </c>
      <c r="P23" s="458"/>
      <c r="R23" s="185"/>
    </row>
    <row r="24" spans="1:19" ht="110.25" customHeight="1" x14ac:dyDescent="0.2">
      <c r="A24" s="312">
        <v>4</v>
      </c>
      <c r="B24" s="638" t="s">
        <v>246</v>
      </c>
      <c r="C24" s="646"/>
      <c r="D24" s="636">
        <v>1.6</v>
      </c>
      <c r="E24" s="636">
        <f t="shared" ref="E24" si="23">D24</f>
        <v>1.6</v>
      </c>
      <c r="F24" s="636">
        <v>1.6</v>
      </c>
      <c r="G24" s="636">
        <v>1.6</v>
      </c>
      <c r="H24" s="642">
        <f t="shared" si="20"/>
        <v>100</v>
      </c>
      <c r="I24" s="639">
        <v>1.6</v>
      </c>
      <c r="J24" s="636">
        <v>1.6</v>
      </c>
      <c r="K24" s="636">
        <f>J24</f>
        <v>1.6</v>
      </c>
      <c r="L24" s="636">
        <v>1.6</v>
      </c>
      <c r="M24" s="636">
        <f t="shared" si="6"/>
        <v>100</v>
      </c>
      <c r="N24" s="636">
        <f>K24</f>
        <v>1.6</v>
      </c>
      <c r="O24" s="637">
        <f t="shared" si="7"/>
        <v>100</v>
      </c>
      <c r="P24" s="458"/>
      <c r="R24" s="185"/>
    </row>
    <row r="25" spans="1:19" ht="105.75" customHeight="1" x14ac:dyDescent="0.2">
      <c r="A25" s="312">
        <v>5</v>
      </c>
      <c r="B25" s="638" t="s">
        <v>247</v>
      </c>
      <c r="C25" s="646"/>
      <c r="D25" s="636">
        <v>1.6</v>
      </c>
      <c r="E25" s="636">
        <f t="shared" ref="E25" si="24">D25</f>
        <v>1.6</v>
      </c>
      <c r="F25" s="636">
        <v>1.6</v>
      </c>
      <c r="G25" s="636">
        <v>1.6</v>
      </c>
      <c r="H25" s="642">
        <f t="shared" si="20"/>
        <v>100</v>
      </c>
      <c r="I25" s="639">
        <v>1.6</v>
      </c>
      <c r="J25" s="636">
        <v>1.6</v>
      </c>
      <c r="K25" s="636">
        <f>J25</f>
        <v>1.6</v>
      </c>
      <c r="L25" s="636">
        <v>1.6</v>
      </c>
      <c r="M25" s="636">
        <f t="shared" si="6"/>
        <v>100</v>
      </c>
      <c r="N25" s="636">
        <f t="shared" si="21"/>
        <v>1.6</v>
      </c>
      <c r="O25" s="637">
        <f t="shared" si="7"/>
        <v>100</v>
      </c>
      <c r="P25" s="458"/>
      <c r="R25" s="185"/>
    </row>
    <row r="26" spans="1:19" s="187" customFormat="1" ht="48.75" customHeight="1" x14ac:dyDescent="0.3">
      <c r="A26" s="315">
        <v>10</v>
      </c>
      <c r="B26" s="657" t="s">
        <v>250</v>
      </c>
      <c r="C26" s="647"/>
      <c r="D26" s="634"/>
      <c r="E26" s="634"/>
      <c r="F26" s="634"/>
      <c r="G26" s="634"/>
      <c r="H26" s="642"/>
      <c r="I26" s="634"/>
      <c r="J26" s="634"/>
      <c r="K26" s="634"/>
      <c r="L26" s="634"/>
      <c r="M26" s="636"/>
      <c r="N26" s="636"/>
      <c r="O26" s="637"/>
      <c r="P26" s="458"/>
      <c r="Q26" s="246">
        <f>'прил к эксп 3'!P18</f>
        <v>5191.0677999999989</v>
      </c>
      <c r="R26" s="247"/>
    </row>
    <row r="27" spans="1:19" ht="111" customHeight="1" x14ac:dyDescent="0.2">
      <c r="A27" s="312">
        <v>1</v>
      </c>
      <c r="B27" s="640" t="s">
        <v>214</v>
      </c>
      <c r="C27" s="633" t="s">
        <v>72</v>
      </c>
      <c r="D27" s="634">
        <f>($D$13+$D$19*$D$21)*$Y$2</f>
        <v>4990.6801999999989</v>
      </c>
      <c r="E27" s="634">
        <f>($E$13+$E$19*$E$21)*$Y$2</f>
        <v>5191.0677999999998</v>
      </c>
      <c r="F27" s="634">
        <f t="shared" ref="F27" si="25">(D27*D6+E27*E6)/F6</f>
        <v>5074.4567026506011</v>
      </c>
      <c r="G27" s="634">
        <f t="shared" ref="G27" si="26">($E$13+$E$19*G21)*$Y$2</f>
        <v>5191.0677999999998</v>
      </c>
      <c r="H27" s="642">
        <f t="shared" si="20"/>
        <v>104.01523623974145</v>
      </c>
      <c r="I27" s="634">
        <f>($D27*$D$6+$E27*$E$6)/$I$6</f>
        <v>5074.4567026506011</v>
      </c>
      <c r="J27" s="636">
        <f>($E$13+$E$19*J21)*$Y$2</f>
        <v>5191.0677999999998</v>
      </c>
      <c r="K27" s="636">
        <f>($K$13+$K$19*$K$21)*$Y$2</f>
        <v>5358.6749999999993</v>
      </c>
      <c r="L27" s="636">
        <f>($J27*$J$6+$K27*$K$6)/$L$6</f>
        <v>5263.9351530791791</v>
      </c>
      <c r="M27" s="636">
        <f t="shared" si="6"/>
        <v>103.22876152763791</v>
      </c>
      <c r="N27" s="634">
        <f>($K$13+$K$19*$K$21)*$Y$4</f>
        <v>5449.5</v>
      </c>
      <c r="O27" s="650">
        <f t="shared" si="7"/>
        <v>101.6949152542373</v>
      </c>
      <c r="P27" s="458"/>
      <c r="Q27">
        <f>(D27*D7+E7*E27)/I7</f>
        <v>5089.8880831488304</v>
      </c>
      <c r="R27" s="251">
        <f>R73</f>
        <v>900650.26329999976</v>
      </c>
    </row>
    <row r="28" spans="1:19" ht="92.25" customHeight="1" x14ac:dyDescent="0.2">
      <c r="A28" s="312">
        <v>2</v>
      </c>
      <c r="B28" s="638" t="s">
        <v>200</v>
      </c>
      <c r="C28" s="633" t="s">
        <v>72</v>
      </c>
      <c r="D28" s="634">
        <f t="shared" ref="D28:D31" si="27">($D$13+$D$19*$D$21)*$Y$2</f>
        <v>4990.6801999999989</v>
      </c>
      <c r="E28" s="634">
        <f>($E$13+$E$19*E22)*$Y$2</f>
        <v>5191.0677999999998</v>
      </c>
      <c r="F28" s="634">
        <f t="shared" ref="F28" si="28">(D28*D6+E28*E6)/F6</f>
        <v>5074.4567026506011</v>
      </c>
      <c r="G28" s="634">
        <f t="shared" ref="G28" si="29">($E$13+$E$19*G22)*$Y$2</f>
        <v>5191.0677999999998</v>
      </c>
      <c r="H28" s="642">
        <f t="shared" si="20"/>
        <v>104.01523623974145</v>
      </c>
      <c r="I28" s="634">
        <f t="shared" ref="I28:I31" si="30">($D28*$D$6+$E28*$E$6)/$I$6</f>
        <v>5074.4567026506011</v>
      </c>
      <c r="J28" s="636">
        <f>($E$13+$E$19*J22)*$Y$2</f>
        <v>5191.0677999999998</v>
      </c>
      <c r="K28" s="636">
        <f>($K$13+$K$19*K22)*$Y$2</f>
        <v>5358.6749999999993</v>
      </c>
      <c r="L28" s="636">
        <f>($J28*$J$6+$K28*$K$6)/$L$6</f>
        <v>5263.9351530791791</v>
      </c>
      <c r="M28" s="636">
        <f t="shared" si="6"/>
        <v>103.22876152763791</v>
      </c>
      <c r="N28" s="634">
        <v>5449.5</v>
      </c>
      <c r="O28" s="650">
        <f t="shared" si="7"/>
        <v>101.6949152542373</v>
      </c>
      <c r="P28" s="458"/>
      <c r="Q28">
        <f>(D28*D8+E8*E28)/I8</f>
        <v>5091.1136980861247</v>
      </c>
    </row>
    <row r="29" spans="1:19" ht="57" customHeight="1" x14ac:dyDescent="0.2">
      <c r="A29" s="312">
        <v>3</v>
      </c>
      <c r="B29" s="640" t="s">
        <v>248</v>
      </c>
      <c r="C29" s="633" t="s">
        <v>72</v>
      </c>
      <c r="D29" s="634">
        <f t="shared" si="27"/>
        <v>4990.6801999999989</v>
      </c>
      <c r="E29" s="634">
        <f>($E$13+$E$19*E23)*$Y$2</f>
        <v>5191.0677999999998</v>
      </c>
      <c r="F29" s="634">
        <f t="shared" ref="F29" si="31">(D29*D6+E29*E6)/F6</f>
        <v>5074.4567026506011</v>
      </c>
      <c r="G29" s="634">
        <f t="shared" ref="G29" si="32">($E$13+$E$19*G23)*$Y$2</f>
        <v>5191.0677999999998</v>
      </c>
      <c r="H29" s="642">
        <f t="shared" si="20"/>
        <v>104.01523623974145</v>
      </c>
      <c r="I29" s="634">
        <f t="shared" si="30"/>
        <v>5074.4567026506011</v>
      </c>
      <c r="J29" s="636">
        <f>($E$13+$E$19*J23)*$Y$2</f>
        <v>5191.0677999999998</v>
      </c>
      <c r="K29" s="636">
        <f>($K$13+$K$19*K23)*$Y$2</f>
        <v>5358.6749999999993</v>
      </c>
      <c r="L29" s="636">
        <f>($J29*$J$6+$K29*$K$6)/$L$6</f>
        <v>5263.9351530791791</v>
      </c>
      <c r="M29" s="636">
        <f t="shared" si="6"/>
        <v>103.22876152763791</v>
      </c>
      <c r="N29" s="634">
        <v>5449.5</v>
      </c>
      <c r="O29" s="650">
        <f t="shared" si="7"/>
        <v>101.6949152542373</v>
      </c>
      <c r="P29" s="458"/>
      <c r="Q29">
        <f>(D29*D9+E9*E29)/I9</f>
        <v>5072.3238414413463</v>
      </c>
    </row>
    <row r="30" spans="1:19" ht="112.5" customHeight="1" x14ac:dyDescent="0.2">
      <c r="A30" s="312">
        <v>4</v>
      </c>
      <c r="B30" s="638" t="s">
        <v>246</v>
      </c>
      <c r="C30" s="633" t="s">
        <v>72</v>
      </c>
      <c r="D30" s="634">
        <f t="shared" si="27"/>
        <v>4990.6801999999989</v>
      </c>
      <c r="E30" s="634">
        <f>($E$13+$E$19*E24)*$Y$2</f>
        <v>5191.0677999999998</v>
      </c>
      <c r="F30" s="634">
        <f t="shared" ref="F30" si="33">(D30*D9+E30*E9)/F9</f>
        <v>5072.3238414413463</v>
      </c>
      <c r="G30" s="634">
        <f t="shared" ref="G30" si="34">($E$13+$E$19*G24)*$Y$2</f>
        <v>5191.0677999999998</v>
      </c>
      <c r="H30" s="642">
        <f t="shared" si="20"/>
        <v>104.01523623974145</v>
      </c>
      <c r="I30" s="634">
        <f t="shared" si="30"/>
        <v>5074.4567026506011</v>
      </c>
      <c r="J30" s="636">
        <f>($E$13+$E$19*J24)*$Y$2</f>
        <v>5191.0677999999998</v>
      </c>
      <c r="K30" s="636">
        <f>($K$13+$K$19*K24)*$Y$2</f>
        <v>5358.6749999999993</v>
      </c>
      <c r="L30" s="636">
        <f>($J30*$J$6+$K30*$K$6)/$L$6</f>
        <v>5263.9351530791791</v>
      </c>
      <c r="M30" s="636">
        <f t="shared" si="6"/>
        <v>103.22876152763791</v>
      </c>
      <c r="N30" s="634">
        <v>5449.5</v>
      </c>
      <c r="O30" s="650">
        <f t="shared" si="7"/>
        <v>101.6949152542373</v>
      </c>
      <c r="P30" s="458"/>
      <c r="Q30">
        <f>(D30*D10+E10*E30)/I10</f>
        <v>5065.550292307692</v>
      </c>
    </row>
    <row r="31" spans="1:19" ht="111" customHeight="1" x14ac:dyDescent="0.2">
      <c r="A31" s="312">
        <v>5</v>
      </c>
      <c r="B31" s="638" t="s">
        <v>247</v>
      </c>
      <c r="C31" s="633" t="s">
        <v>72</v>
      </c>
      <c r="D31" s="634">
        <f t="shared" si="27"/>
        <v>4990.6801999999989</v>
      </c>
      <c r="E31" s="634">
        <f>($E$13+$E$19*E25)*$Y$2</f>
        <v>5191.0677999999998</v>
      </c>
      <c r="F31" s="648">
        <f t="shared" ref="F31" si="35">(D31*D6+E31*E6)/F6</f>
        <v>5074.4567026506011</v>
      </c>
      <c r="G31" s="648">
        <f t="shared" ref="G31" si="36">($E$13+$E$19*G25)*$Y$2</f>
        <v>5191.0677999999998</v>
      </c>
      <c r="H31" s="642">
        <f t="shared" si="20"/>
        <v>104.01523623974145</v>
      </c>
      <c r="I31" s="634">
        <f t="shared" si="30"/>
        <v>5074.4567026506011</v>
      </c>
      <c r="J31" s="636">
        <f>($E$13+$E$19*J25)*$Y$2</f>
        <v>5191.0677999999998</v>
      </c>
      <c r="K31" s="636">
        <f>($K$13+$K$19*K25)*$Y$2</f>
        <v>5358.6749999999993</v>
      </c>
      <c r="L31" s="636">
        <f>($J31*$J$6+$K31*$K$6)/$L$6</f>
        <v>5263.9351530791791</v>
      </c>
      <c r="M31" s="636">
        <f t="shared" si="6"/>
        <v>103.22876152763791</v>
      </c>
      <c r="N31" s="634">
        <v>5449.5</v>
      </c>
      <c r="O31" s="650">
        <f t="shared" si="7"/>
        <v>101.6949152542373</v>
      </c>
      <c r="P31" s="458"/>
      <c r="Q31">
        <f>(D31*D11+E11*E31)/I11</f>
        <v>5072.9942983164974</v>
      </c>
    </row>
    <row r="32" spans="1:19" ht="15.75" hidden="1" x14ac:dyDescent="0.2">
      <c r="A32" s="181"/>
      <c r="B32" s="182" t="s">
        <v>119</v>
      </c>
      <c r="C32" s="182"/>
      <c r="D32" s="181">
        <f>D33+D34+D35</f>
        <v>4.8000000000000007</v>
      </c>
      <c r="E32" s="181">
        <f t="shared" ref="E32:I32" si="37">E33+E34+E35</f>
        <v>4.8000000000000007</v>
      </c>
      <c r="F32" s="268"/>
      <c r="G32" s="266">
        <f t="shared" ref="G32:G49" si="38">F32/E32*100</f>
        <v>0</v>
      </c>
      <c r="H32" s="291">
        <f t="shared" si="20"/>
        <v>100</v>
      </c>
      <c r="I32" s="181">
        <f t="shared" si="37"/>
        <v>4.8000000000000007</v>
      </c>
      <c r="J32" s="342"/>
      <c r="K32" s="342"/>
      <c r="L32" s="342"/>
      <c r="M32" s="441" t="e">
        <f t="shared" si="6"/>
        <v>#DIV/0!</v>
      </c>
      <c r="N32" s="630"/>
      <c r="O32" s="342"/>
      <c r="P32" s="342"/>
      <c r="Q32">
        <v>1</v>
      </c>
      <c r="R32">
        <v>1</v>
      </c>
      <c r="S32">
        <v>1</v>
      </c>
    </row>
    <row r="33" spans="1:21" ht="94.5" hidden="1" x14ac:dyDescent="0.2">
      <c r="A33" s="312">
        <v>1</v>
      </c>
      <c r="B33" s="16" t="s">
        <v>199</v>
      </c>
      <c r="C33" s="182"/>
      <c r="D33" s="181">
        <f>D21</f>
        <v>1.6</v>
      </c>
      <c r="E33" s="181">
        <f t="shared" ref="E33:I35" si="39">E21</f>
        <v>1.6</v>
      </c>
      <c r="F33" s="268">
        <f>F21</f>
        <v>1.6</v>
      </c>
      <c r="G33" s="266">
        <f t="shared" si="38"/>
        <v>100</v>
      </c>
      <c r="H33" s="291">
        <f t="shared" si="20"/>
        <v>100</v>
      </c>
      <c r="I33" s="181">
        <f t="shared" si="39"/>
        <v>1.6</v>
      </c>
      <c r="J33" s="342"/>
      <c r="K33" s="342"/>
      <c r="L33" s="342"/>
      <c r="M33" s="441" t="e">
        <f t="shared" si="6"/>
        <v>#DIV/0!</v>
      </c>
      <c r="N33" s="630"/>
      <c r="O33" s="342"/>
      <c r="P33" s="342"/>
      <c r="Q33">
        <f>D33*Q32/D32</f>
        <v>0.33333333333333331</v>
      </c>
      <c r="R33">
        <f>E33*R32/E32</f>
        <v>0.33333333333333331</v>
      </c>
      <c r="S33">
        <f>I33*S32/I32</f>
        <v>0.33333333333333331</v>
      </c>
    </row>
    <row r="34" spans="1:21" ht="78.75" hidden="1" x14ac:dyDescent="0.2">
      <c r="A34" s="312">
        <v>2</v>
      </c>
      <c r="B34" s="16" t="s">
        <v>200</v>
      </c>
      <c r="C34" s="182"/>
      <c r="D34" s="181">
        <f>D22</f>
        <v>1.6</v>
      </c>
      <c r="E34" s="181">
        <f t="shared" si="39"/>
        <v>1.6</v>
      </c>
      <c r="F34" s="268">
        <f>F22</f>
        <v>1.6</v>
      </c>
      <c r="G34" s="266">
        <f t="shared" si="38"/>
        <v>100</v>
      </c>
      <c r="H34" s="291">
        <f t="shared" si="20"/>
        <v>100</v>
      </c>
      <c r="I34" s="181">
        <f t="shared" si="39"/>
        <v>1.6</v>
      </c>
      <c r="J34" s="342"/>
      <c r="K34" s="342"/>
      <c r="L34" s="342"/>
      <c r="M34" s="441" t="e">
        <f t="shared" si="6"/>
        <v>#DIV/0!</v>
      </c>
      <c r="N34" s="630"/>
      <c r="O34" s="342"/>
      <c r="P34" s="342"/>
      <c r="Q34">
        <f>D34*Q32/D32</f>
        <v>0.33333333333333331</v>
      </c>
      <c r="R34">
        <f>E34*R32/E32</f>
        <v>0.33333333333333331</v>
      </c>
      <c r="S34">
        <f>I34*S32/I32</f>
        <v>0.33333333333333331</v>
      </c>
    </row>
    <row r="35" spans="1:21" ht="78.75" hidden="1" x14ac:dyDescent="0.2">
      <c r="A35" s="312">
        <v>3</v>
      </c>
      <c r="B35" s="313" t="s">
        <v>231</v>
      </c>
      <c r="C35" s="182"/>
      <c r="D35" s="181">
        <f>D23</f>
        <v>1.6</v>
      </c>
      <c r="E35" s="181">
        <f t="shared" si="39"/>
        <v>1.6</v>
      </c>
      <c r="F35" s="268">
        <f>F23</f>
        <v>1.6</v>
      </c>
      <c r="G35" s="266">
        <f t="shared" si="38"/>
        <v>100</v>
      </c>
      <c r="H35" s="291">
        <f t="shared" si="20"/>
        <v>100</v>
      </c>
      <c r="I35" s="181">
        <f t="shared" si="39"/>
        <v>1.6</v>
      </c>
      <c r="J35" s="342"/>
      <c r="K35" s="342"/>
      <c r="L35" s="342"/>
      <c r="M35" s="441" t="e">
        <f t="shared" si="6"/>
        <v>#DIV/0!</v>
      </c>
      <c r="N35" s="630"/>
      <c r="O35" s="342"/>
      <c r="P35" s="342"/>
      <c r="Q35">
        <f>D35*Q32/D32</f>
        <v>0.33333333333333331</v>
      </c>
      <c r="R35">
        <f>E35*R32/E32</f>
        <v>0.33333333333333331</v>
      </c>
      <c r="S35">
        <f>I35*S32/I32</f>
        <v>0.33333333333333331</v>
      </c>
    </row>
    <row r="36" spans="1:21" ht="94.5" hidden="1" x14ac:dyDescent="0.25">
      <c r="A36" s="312">
        <v>4</v>
      </c>
      <c r="B36" s="287" t="s">
        <v>230</v>
      </c>
      <c r="C36" s="293"/>
      <c r="D36" s="181">
        <f t="shared" ref="D36:D37" si="40">D24</f>
        <v>1.6</v>
      </c>
      <c r="E36" s="181">
        <f t="shared" ref="E36" si="41">E24</f>
        <v>1.6</v>
      </c>
      <c r="F36" s="290"/>
      <c r="G36" s="290"/>
      <c r="H36" s="291">
        <f t="shared" si="20"/>
        <v>100</v>
      </c>
      <c r="I36" s="181">
        <f t="shared" ref="I36" si="42">I24</f>
        <v>1.6</v>
      </c>
      <c r="J36" s="342"/>
      <c r="K36" s="342"/>
      <c r="L36" s="342"/>
      <c r="M36" s="441" t="e">
        <f t="shared" si="6"/>
        <v>#DIV/0!</v>
      </c>
      <c r="N36" s="630"/>
      <c r="O36" s="342"/>
      <c r="P36" s="342"/>
    </row>
    <row r="37" spans="1:21" ht="78.75" hidden="1" x14ac:dyDescent="0.25">
      <c r="A37" s="312">
        <v>5</v>
      </c>
      <c r="B37" s="287" t="s">
        <v>222</v>
      </c>
      <c r="C37" s="293"/>
      <c r="D37" s="181">
        <f t="shared" si="40"/>
        <v>1.6</v>
      </c>
      <c r="E37" s="181">
        <f t="shared" ref="E37" si="43">E25</f>
        <v>1.6</v>
      </c>
      <c r="F37" s="290"/>
      <c r="G37" s="290"/>
      <c r="H37" s="291">
        <f t="shared" si="20"/>
        <v>100</v>
      </c>
      <c r="I37" s="181">
        <f t="shared" ref="I37" si="44">I25</f>
        <v>1.6</v>
      </c>
      <c r="J37" s="342"/>
      <c r="K37" s="342"/>
      <c r="L37" s="342"/>
      <c r="M37" s="441" t="e">
        <f t="shared" si="6"/>
        <v>#DIV/0!</v>
      </c>
      <c r="N37" s="630"/>
      <c r="O37" s="342"/>
      <c r="P37" s="342"/>
    </row>
    <row r="38" spans="1:21" ht="15.75" hidden="1" x14ac:dyDescent="0.2">
      <c r="A38" s="116"/>
      <c r="B38" s="116" t="s">
        <v>85</v>
      </c>
      <c r="C38" s="116" t="s">
        <v>65</v>
      </c>
      <c r="D38" s="174">
        <f>D39+D40+D41+D42+D43</f>
        <v>386.40000000000003</v>
      </c>
      <c r="E38" s="174">
        <f t="shared" ref="E38:I38" si="45">E39+E40+E41+E42+E43</f>
        <v>277.60000000000002</v>
      </c>
      <c r="F38" s="174">
        <f t="shared" si="45"/>
        <v>662.904</v>
      </c>
      <c r="G38" s="174">
        <f t="shared" si="45"/>
        <v>646.95202232908537</v>
      </c>
      <c r="H38" s="291">
        <f t="shared" si="20"/>
        <v>71.842650103519674</v>
      </c>
      <c r="I38" s="174">
        <f t="shared" si="45"/>
        <v>663.99999999999989</v>
      </c>
      <c r="J38" s="493"/>
      <c r="K38" s="493"/>
      <c r="L38" s="493"/>
      <c r="M38" s="441" t="e">
        <f t="shared" si="6"/>
        <v>#DIV/0!</v>
      </c>
      <c r="N38" s="630"/>
      <c r="O38" s="343"/>
      <c r="P38" s="343"/>
      <c r="Q38" s="177" t="s">
        <v>181</v>
      </c>
      <c r="R38" s="177"/>
      <c r="S38" s="177"/>
      <c r="T38" s="177"/>
      <c r="U38" s="177"/>
    </row>
    <row r="39" spans="1:21" ht="94.5" hidden="1" x14ac:dyDescent="0.2">
      <c r="A39" s="312">
        <v>1</v>
      </c>
      <c r="B39" s="16" t="s">
        <v>199</v>
      </c>
      <c r="C39" s="116" t="s">
        <v>65</v>
      </c>
      <c r="D39" s="174">
        <f>D7*D33</f>
        <v>26.272000000000006</v>
      </c>
      <c r="E39" s="174">
        <f t="shared" ref="E39:I39" si="46">E7*E33</f>
        <v>25.760000000000005</v>
      </c>
      <c r="F39" s="270">
        <f t="shared" si="46"/>
        <v>52.032000000000011</v>
      </c>
      <c r="G39" s="266">
        <f t="shared" si="38"/>
        <v>201.98757763975155</v>
      </c>
      <c r="H39" s="291">
        <f t="shared" si="20"/>
        <v>98.051157125456754</v>
      </c>
      <c r="I39" s="174">
        <f t="shared" si="46"/>
        <v>52.032000000000011</v>
      </c>
      <c r="J39" s="493"/>
      <c r="K39" s="493"/>
      <c r="L39" s="493"/>
      <c r="M39" s="441" t="e">
        <f t="shared" si="6"/>
        <v>#DIV/0!</v>
      </c>
      <c r="N39" s="630"/>
      <c r="O39" s="343"/>
      <c r="P39" s="343"/>
    </row>
    <row r="40" spans="1:21" ht="78.75" hidden="1" x14ac:dyDescent="0.2">
      <c r="A40" s="312">
        <v>2</v>
      </c>
      <c r="B40" s="16" t="s">
        <v>200</v>
      </c>
      <c r="C40" s="116" t="s">
        <v>65</v>
      </c>
      <c r="D40" s="174">
        <f>D8*D34</f>
        <v>13.344000000000001</v>
      </c>
      <c r="E40" s="174">
        <f>E8*E34</f>
        <v>13.408000000000001</v>
      </c>
      <c r="F40" s="270">
        <f>F8*F34</f>
        <v>26.751999999999999</v>
      </c>
      <c r="G40" s="266">
        <f t="shared" si="38"/>
        <v>199.52267303102622</v>
      </c>
      <c r="H40" s="291">
        <f t="shared" si="20"/>
        <v>100.47961630695443</v>
      </c>
      <c r="I40" s="174">
        <f>I8*I34</f>
        <v>26.751999999999999</v>
      </c>
      <c r="J40" s="493"/>
      <c r="K40" s="493"/>
      <c r="L40" s="493"/>
      <c r="M40" s="441" t="e">
        <f t="shared" si="6"/>
        <v>#DIV/0!</v>
      </c>
      <c r="N40" s="630"/>
      <c r="O40" s="343"/>
      <c r="P40" s="343"/>
    </row>
    <row r="41" spans="1:21" ht="78.75" hidden="1" x14ac:dyDescent="0.2">
      <c r="A41" s="312">
        <v>3</v>
      </c>
      <c r="B41" s="313" t="s">
        <v>231</v>
      </c>
      <c r="C41" s="116" t="s">
        <v>65</v>
      </c>
      <c r="D41" s="174">
        <f>D9*D35</f>
        <v>346.13280000000003</v>
      </c>
      <c r="E41" s="174">
        <f>E9*E35</f>
        <v>237.9872</v>
      </c>
      <c r="F41" s="270">
        <f>F9*F35</f>
        <v>584.12</v>
      </c>
      <c r="G41" s="266">
        <f t="shared" si="38"/>
        <v>245.44177165830769</v>
      </c>
      <c r="H41" s="291">
        <f t="shared" si="20"/>
        <v>68.756038144896976</v>
      </c>
      <c r="I41" s="174">
        <f>I9*I35</f>
        <v>584.12</v>
      </c>
      <c r="J41" s="493"/>
      <c r="K41" s="493"/>
      <c r="L41" s="493"/>
      <c r="M41" s="441" t="e">
        <f t="shared" si="6"/>
        <v>#DIV/0!</v>
      </c>
      <c r="N41" s="630"/>
      <c r="O41" s="343"/>
      <c r="P41" s="343"/>
    </row>
    <row r="42" spans="1:21" ht="94.5" hidden="1" x14ac:dyDescent="0.2">
      <c r="A42" s="312">
        <v>4</v>
      </c>
      <c r="B42" s="287" t="s">
        <v>230</v>
      </c>
      <c r="C42" s="116" t="s">
        <v>65</v>
      </c>
      <c r="D42" s="174">
        <f>D10*D36</f>
        <v>9.1200000000000003E-2</v>
      </c>
      <c r="E42" s="174">
        <f>E10*E36</f>
        <v>5.4400000000000004E-2</v>
      </c>
      <c r="F42" s="270"/>
      <c r="G42" s="266"/>
      <c r="H42" s="291">
        <f t="shared" si="20"/>
        <v>59.649122807017541</v>
      </c>
      <c r="I42" s="174">
        <f>I10*I36</f>
        <v>0.14560000000000001</v>
      </c>
      <c r="J42" s="493"/>
      <c r="K42" s="493"/>
      <c r="L42" s="493"/>
      <c r="M42" s="441" t="e">
        <f t="shared" si="6"/>
        <v>#DIV/0!</v>
      </c>
      <c r="N42" s="630"/>
      <c r="O42" s="343"/>
      <c r="P42" s="343"/>
    </row>
    <row r="43" spans="1:21" ht="78.75" hidden="1" x14ac:dyDescent="0.2">
      <c r="A43" s="312">
        <v>5</v>
      </c>
      <c r="B43" s="287" t="s">
        <v>222</v>
      </c>
      <c r="C43" s="116" t="s">
        <v>65</v>
      </c>
      <c r="D43" s="174">
        <f>D11*D37</f>
        <v>0.55999999999999994</v>
      </c>
      <c r="E43" s="174">
        <f>E11*E37</f>
        <v>0.39040000000000002</v>
      </c>
      <c r="F43" s="270"/>
      <c r="G43" s="266"/>
      <c r="H43" s="291">
        <f t="shared" si="20"/>
        <v>69.714285714285722</v>
      </c>
      <c r="I43" s="174">
        <f>I11*I37</f>
        <v>0.95040000000000002</v>
      </c>
      <c r="J43" s="493"/>
      <c r="K43" s="493"/>
      <c r="L43" s="493"/>
      <c r="M43" s="441" t="e">
        <f t="shared" si="6"/>
        <v>#DIV/0!</v>
      </c>
      <c r="N43" s="630"/>
      <c r="O43" s="343"/>
      <c r="P43" s="343"/>
    </row>
    <row r="44" spans="1:21" ht="15.75" hidden="1" x14ac:dyDescent="0.2">
      <c r="A44" s="116"/>
      <c r="B44" s="116" t="s">
        <v>93</v>
      </c>
      <c r="C44" s="116" t="s">
        <v>65</v>
      </c>
      <c r="D44" s="116">
        <f>D38</f>
        <v>386.40000000000003</v>
      </c>
      <c r="E44" s="116">
        <f t="shared" ref="E44:I44" si="47">E38</f>
        <v>277.60000000000002</v>
      </c>
      <c r="F44" s="269">
        <f t="shared" si="47"/>
        <v>662.904</v>
      </c>
      <c r="G44" s="266">
        <f t="shared" si="38"/>
        <v>238.79827089337175</v>
      </c>
      <c r="H44" s="291">
        <f t="shared" si="20"/>
        <v>71.842650103519674</v>
      </c>
      <c r="I44" s="116">
        <f t="shared" si="47"/>
        <v>663.99999999999989</v>
      </c>
      <c r="J44" s="494"/>
      <c r="K44" s="494"/>
      <c r="L44" s="494"/>
      <c r="M44" s="441" t="e">
        <f t="shared" si="6"/>
        <v>#DIV/0!</v>
      </c>
      <c r="N44" s="630"/>
      <c r="O44" s="185"/>
      <c r="P44" s="185"/>
      <c r="R44" s="231">
        <f>(E33*E7+E34*E8+E35*E9)/E6</f>
        <v>1.5974363112391936</v>
      </c>
      <c r="S44" s="231">
        <f>R44*E6</f>
        <v>277.15520000000004</v>
      </c>
    </row>
    <row r="45" spans="1:21" ht="15.75" hidden="1" x14ac:dyDescent="0.2">
      <c r="A45" s="116"/>
      <c r="B45" s="112" t="s">
        <v>182</v>
      </c>
      <c r="C45" s="116" t="s">
        <v>72</v>
      </c>
      <c r="D45" s="116">
        <f>(D6*D16)/D44</f>
        <v>639.61874999999986</v>
      </c>
      <c r="E45" s="116">
        <f t="shared" ref="E45:I45" si="48">(E6*E16)/E44</f>
        <v>667.6312499999998</v>
      </c>
      <c r="F45" s="269">
        <f t="shared" si="48"/>
        <v>624.03323105608047</v>
      </c>
      <c r="G45" s="266">
        <f t="shared" si="38"/>
        <v>93.46974562021785</v>
      </c>
      <c r="H45" s="291">
        <f t="shared" si="20"/>
        <v>104.37956204379562</v>
      </c>
      <c r="I45" s="116">
        <f t="shared" si="48"/>
        <v>651.33000000000015</v>
      </c>
      <c r="J45" s="494"/>
      <c r="K45" s="494"/>
      <c r="L45" s="494"/>
      <c r="M45" s="441" t="e">
        <f t="shared" si="6"/>
        <v>#DIV/0!</v>
      </c>
      <c r="N45" s="630"/>
      <c r="O45" s="185"/>
      <c r="P45" s="185"/>
    </row>
    <row r="46" spans="1:21" ht="15.75" hidden="1" x14ac:dyDescent="0.2">
      <c r="A46" s="116"/>
      <c r="B46" s="116" t="s">
        <v>97</v>
      </c>
      <c r="C46" s="116"/>
      <c r="D46" s="116"/>
      <c r="E46" s="116"/>
      <c r="F46" s="269"/>
      <c r="G46" s="266" t="e">
        <f t="shared" si="38"/>
        <v>#DIV/0!</v>
      </c>
      <c r="H46" s="291" t="e">
        <f t="shared" si="20"/>
        <v>#DIV/0!</v>
      </c>
      <c r="I46" s="116"/>
      <c r="J46" s="494"/>
      <c r="K46" s="494"/>
      <c r="L46" s="494"/>
      <c r="M46" s="441" t="e">
        <f t="shared" si="6"/>
        <v>#DIV/0!</v>
      </c>
      <c r="N46" s="630"/>
      <c r="O46" s="185"/>
      <c r="P46" s="185"/>
    </row>
    <row r="47" spans="1:21" ht="94.5" hidden="1" x14ac:dyDescent="0.2">
      <c r="A47" s="312">
        <v>1</v>
      </c>
      <c r="B47" s="16" t="s">
        <v>199</v>
      </c>
      <c r="C47" s="116" t="s">
        <v>72</v>
      </c>
      <c r="D47" s="116">
        <f>$D$45*D33</f>
        <v>1023.3899999999999</v>
      </c>
      <c r="E47" s="116">
        <f>$E$45*E33</f>
        <v>1068.2099999999998</v>
      </c>
      <c r="F47" s="269">
        <f>$F$45*F33</f>
        <v>998.45316968972884</v>
      </c>
      <c r="G47" s="266">
        <f t="shared" si="38"/>
        <v>93.46974562021785</v>
      </c>
      <c r="H47" s="291">
        <f t="shared" si="20"/>
        <v>104.37956204379562</v>
      </c>
      <c r="I47" s="116">
        <f>$I$45*I33</f>
        <v>1042.1280000000004</v>
      </c>
      <c r="J47" s="494"/>
      <c r="K47" s="494"/>
      <c r="L47" s="494"/>
      <c r="M47" s="441" t="e">
        <f t="shared" si="6"/>
        <v>#DIV/0!</v>
      </c>
      <c r="N47" s="630"/>
      <c r="O47" s="185"/>
      <c r="P47" s="185"/>
    </row>
    <row r="48" spans="1:21" ht="78.75" hidden="1" x14ac:dyDescent="0.2">
      <c r="A48" s="312">
        <v>2</v>
      </c>
      <c r="B48" s="16" t="s">
        <v>200</v>
      </c>
      <c r="C48" s="116" t="s">
        <v>72</v>
      </c>
      <c r="D48" s="116">
        <f t="shared" ref="D48:D51" si="49">$D$45*D34</f>
        <v>1023.3899999999999</v>
      </c>
      <c r="E48" s="116">
        <f t="shared" ref="E48" si="50">$E$45*E34</f>
        <v>1068.2099999999998</v>
      </c>
      <c r="F48" s="269">
        <f t="shared" ref="F48:F49" si="51">$F$45*F34</f>
        <v>998.45316968972884</v>
      </c>
      <c r="G48" s="266">
        <f t="shared" si="38"/>
        <v>93.46974562021785</v>
      </c>
      <c r="H48" s="291">
        <f t="shared" si="20"/>
        <v>104.37956204379562</v>
      </c>
      <c r="I48" s="116">
        <f t="shared" ref="I48:I51" si="52">$I$45*I34</f>
        <v>1042.1280000000004</v>
      </c>
      <c r="J48" s="494"/>
      <c r="K48" s="494"/>
      <c r="L48" s="494"/>
      <c r="M48" s="441" t="e">
        <f t="shared" si="6"/>
        <v>#DIV/0!</v>
      </c>
      <c r="N48" s="630"/>
      <c r="O48" s="185"/>
      <c r="P48" s="185"/>
    </row>
    <row r="49" spans="1:18" ht="78.75" hidden="1" x14ac:dyDescent="0.2">
      <c r="A49" s="312">
        <v>3</v>
      </c>
      <c r="B49" s="313" t="s">
        <v>231</v>
      </c>
      <c r="C49" s="116" t="s">
        <v>72</v>
      </c>
      <c r="D49" s="116">
        <f t="shared" si="49"/>
        <v>1023.3899999999999</v>
      </c>
      <c r="E49" s="116">
        <f>$E$45*E35</f>
        <v>1068.2099999999998</v>
      </c>
      <c r="F49" s="269">
        <f t="shared" si="51"/>
        <v>998.45316968972884</v>
      </c>
      <c r="G49" s="266">
        <f t="shared" si="38"/>
        <v>93.46974562021785</v>
      </c>
      <c r="H49" s="291">
        <f t="shared" si="20"/>
        <v>104.37956204379562</v>
      </c>
      <c r="I49" s="116">
        <f t="shared" si="52"/>
        <v>1042.1280000000004</v>
      </c>
      <c r="J49" s="494"/>
      <c r="K49" s="494"/>
      <c r="L49" s="494"/>
      <c r="M49" s="441" t="e">
        <f t="shared" si="6"/>
        <v>#DIV/0!</v>
      </c>
      <c r="N49" s="630"/>
      <c r="O49" s="185"/>
      <c r="P49" s="185"/>
    </row>
    <row r="50" spans="1:18" ht="94.5" hidden="1" x14ac:dyDescent="0.2">
      <c r="A50" s="312">
        <v>4</v>
      </c>
      <c r="B50" s="287" t="s">
        <v>230</v>
      </c>
      <c r="C50" s="116" t="s">
        <v>72</v>
      </c>
      <c r="D50" s="116">
        <f t="shared" si="49"/>
        <v>1023.3899999999999</v>
      </c>
      <c r="E50" s="116">
        <f t="shared" ref="E50:E51" si="53">$E$45*E36</f>
        <v>1068.2099999999998</v>
      </c>
      <c r="F50" s="269"/>
      <c r="G50" s="266"/>
      <c r="H50" s="291">
        <f t="shared" si="20"/>
        <v>104.37956204379562</v>
      </c>
      <c r="I50" s="116">
        <f t="shared" si="52"/>
        <v>1042.1280000000004</v>
      </c>
      <c r="J50" s="494"/>
      <c r="K50" s="494"/>
      <c r="L50" s="494"/>
      <c r="M50" s="441" t="e">
        <f t="shared" si="6"/>
        <v>#DIV/0!</v>
      </c>
      <c r="N50" s="630"/>
      <c r="O50" s="185"/>
      <c r="P50" s="185"/>
    </row>
    <row r="51" spans="1:18" ht="78.75" hidden="1" x14ac:dyDescent="0.2">
      <c r="A51" s="312">
        <v>5</v>
      </c>
      <c r="B51" s="287" t="s">
        <v>222</v>
      </c>
      <c r="C51" s="116" t="s">
        <v>72</v>
      </c>
      <c r="D51" s="116">
        <f t="shared" si="49"/>
        <v>1023.3899999999999</v>
      </c>
      <c r="E51" s="116">
        <f t="shared" si="53"/>
        <v>1068.2099999999998</v>
      </c>
      <c r="F51" s="269"/>
      <c r="G51" s="266"/>
      <c r="H51" s="291">
        <f t="shared" si="20"/>
        <v>104.37956204379562</v>
      </c>
      <c r="I51" s="116">
        <f t="shared" si="52"/>
        <v>1042.1280000000004</v>
      </c>
      <c r="J51" s="494"/>
      <c r="K51" s="494"/>
      <c r="L51" s="494"/>
      <c r="M51" s="441" t="e">
        <f t="shared" si="6"/>
        <v>#DIV/0!</v>
      </c>
      <c r="N51" s="630"/>
      <c r="O51" s="185"/>
      <c r="P51" s="185"/>
    </row>
    <row r="52" spans="1:18" s="245" customFormat="1" ht="15.75" hidden="1" x14ac:dyDescent="0.2">
      <c r="F52" s="264"/>
      <c r="G52" s="264"/>
      <c r="H52" s="291" t="e">
        <f t="shared" si="20"/>
        <v>#DIV/0!</v>
      </c>
      <c r="J52" s="440"/>
      <c r="K52" s="440"/>
      <c r="L52" s="440"/>
      <c r="M52" s="441" t="e">
        <f t="shared" si="6"/>
        <v>#DIV/0!</v>
      </c>
      <c r="N52" s="630"/>
    </row>
    <row r="53" spans="1:18" ht="15.75" hidden="1" x14ac:dyDescent="0.2">
      <c r="B53" s="252" t="s">
        <v>205</v>
      </c>
      <c r="C53" s="253"/>
      <c r="D53" s="254"/>
      <c r="E53" s="254"/>
      <c r="F53" s="271"/>
      <c r="G53" s="271"/>
      <c r="H53" s="291" t="e">
        <f t="shared" si="20"/>
        <v>#DIV/0!</v>
      </c>
      <c r="I53" s="254"/>
      <c r="J53" s="98"/>
      <c r="K53" s="98"/>
      <c r="L53" s="98"/>
      <c r="M53" s="441" t="e">
        <f t="shared" si="6"/>
        <v>#DIV/0!</v>
      </c>
      <c r="N53" s="630"/>
      <c r="O53" s="254"/>
      <c r="P53" s="254"/>
    </row>
    <row r="54" spans="1:18" ht="94.5" hidden="1" x14ac:dyDescent="0.2">
      <c r="B54" s="255" t="s">
        <v>199</v>
      </c>
      <c r="C54" s="256" t="s">
        <v>57</v>
      </c>
      <c r="D54" s="257">
        <f>D47*D7</f>
        <v>16804.0638</v>
      </c>
      <c r="E54" s="257">
        <f t="shared" ref="E54:I54" si="54">E47*E7</f>
        <v>17198.180999999997</v>
      </c>
      <c r="F54" s="272"/>
      <c r="G54" s="272"/>
      <c r="H54" s="291">
        <f t="shared" si="20"/>
        <v>102.34536838642565</v>
      </c>
      <c r="I54" s="257">
        <f t="shared" si="54"/>
        <v>33890.002560000015</v>
      </c>
      <c r="J54" s="495"/>
      <c r="K54" s="495"/>
      <c r="L54" s="495"/>
      <c r="M54" s="441" t="e">
        <f t="shared" si="6"/>
        <v>#DIV/0!</v>
      </c>
      <c r="N54" s="630"/>
      <c r="O54" s="344"/>
      <c r="P54" s="344"/>
      <c r="Q54" s="218" t="s">
        <v>209</v>
      </c>
    </row>
    <row r="55" spans="1:18" ht="78.75" hidden="1" x14ac:dyDescent="0.2">
      <c r="B55" s="255" t="s">
        <v>200</v>
      </c>
      <c r="C55" s="256" t="s">
        <v>57</v>
      </c>
      <c r="D55" s="257">
        <f>D48*D8</f>
        <v>8535.0725999999995</v>
      </c>
      <c r="E55" s="257">
        <f>E48*E8</f>
        <v>8951.5998</v>
      </c>
      <c r="F55" s="272"/>
      <c r="G55" s="272"/>
      <c r="H55" s="291">
        <f t="shared" si="20"/>
        <v>104.88018344448528</v>
      </c>
      <c r="I55" s="257">
        <f>I48*I8</f>
        <v>17424.380160000004</v>
      </c>
      <c r="J55" s="495"/>
      <c r="K55" s="495"/>
      <c r="L55" s="495"/>
      <c r="M55" s="441" t="e">
        <f t="shared" si="6"/>
        <v>#DIV/0!</v>
      </c>
      <c r="N55" s="630"/>
      <c r="O55" s="344"/>
      <c r="P55" s="344"/>
      <c r="Q55" s="262">
        <f>(E54+C61)*Y2*E33</f>
        <v>38523.093727999993</v>
      </c>
      <c r="R55" s="176">
        <f>Q55*Y2</f>
        <v>45457.250599039988</v>
      </c>
    </row>
    <row r="56" spans="1:18" ht="63" hidden="1" x14ac:dyDescent="0.2">
      <c r="B56" s="255" t="s">
        <v>202</v>
      </c>
      <c r="C56" s="256" t="s">
        <v>57</v>
      </c>
      <c r="D56" s="257">
        <f>D49*D9</f>
        <v>221393.02886999998</v>
      </c>
      <c r="E56" s="257">
        <f>E49*E9</f>
        <v>158887.69181999995</v>
      </c>
      <c r="F56" s="272"/>
      <c r="G56" s="272"/>
      <c r="H56" s="291">
        <f t="shared" si="20"/>
        <v>71.76725149430851</v>
      </c>
      <c r="I56" s="257">
        <f>I49*I9</f>
        <v>380454.8796000001</v>
      </c>
      <c r="J56" s="495"/>
      <c r="K56" s="495"/>
      <c r="L56" s="495"/>
      <c r="M56" s="441" t="e">
        <f t="shared" si="6"/>
        <v>#DIV/0!</v>
      </c>
      <c r="N56" s="630"/>
      <c r="O56" s="344"/>
      <c r="P56" s="344"/>
      <c r="Q56" s="262">
        <f>Y2*(E7*(C61+(E45*E33)))</f>
        <v>81201.441579999999</v>
      </c>
      <c r="R56" s="176"/>
    </row>
    <row r="57" spans="1:18" ht="15.75" hidden="1" x14ac:dyDescent="0.2">
      <c r="B57" s="259" t="s">
        <v>106</v>
      </c>
      <c r="C57" s="256" t="s">
        <v>57</v>
      </c>
      <c r="D57" s="260">
        <f>D54+D55+D56</f>
        <v>246732.16526999997</v>
      </c>
      <c r="E57" s="260">
        <f t="shared" ref="E57:I57" si="55">E54+E55+E56</f>
        <v>185037.47261999996</v>
      </c>
      <c r="F57" s="273"/>
      <c r="G57" s="273"/>
      <c r="H57" s="291">
        <f t="shared" si="20"/>
        <v>74.995277740748861</v>
      </c>
      <c r="I57" s="260">
        <f t="shared" si="55"/>
        <v>431769.2623200001</v>
      </c>
      <c r="J57" s="186"/>
      <c r="K57" s="186"/>
      <c r="L57" s="186"/>
      <c r="M57" s="441" t="e">
        <f t="shared" si="6"/>
        <v>#DIV/0!</v>
      </c>
      <c r="N57" s="630"/>
      <c r="O57" s="345"/>
      <c r="P57" s="345"/>
    </row>
    <row r="58" spans="1:18" ht="15.75" hidden="1" x14ac:dyDescent="0.2">
      <c r="A58" s="185"/>
      <c r="B58" s="95"/>
      <c r="C58" s="105"/>
      <c r="D58" s="186"/>
      <c r="E58" s="186"/>
      <c r="F58" s="274"/>
      <c r="G58" s="274"/>
      <c r="H58" s="291" t="e">
        <f t="shared" si="20"/>
        <v>#DIV/0!</v>
      </c>
      <c r="I58" s="186"/>
      <c r="J58" s="186"/>
      <c r="K58" s="186"/>
      <c r="L58" s="186"/>
      <c r="M58" s="441" t="e">
        <f t="shared" si="6"/>
        <v>#DIV/0!</v>
      </c>
      <c r="N58" s="630"/>
      <c r="O58" s="186"/>
      <c r="P58" s="186"/>
      <c r="Q58" s="54"/>
    </row>
    <row r="59" spans="1:18" ht="15.75" hidden="1" x14ac:dyDescent="0.2">
      <c r="B59" s="188" t="s">
        <v>134</v>
      </c>
      <c r="C59" s="100" t="s">
        <v>107</v>
      </c>
      <c r="D59" s="192" t="s">
        <v>108</v>
      </c>
      <c r="E59" s="192" t="s">
        <v>33</v>
      </c>
      <c r="F59" s="275"/>
      <c r="G59" s="275"/>
      <c r="H59" s="291" t="e">
        <f t="shared" si="20"/>
        <v>#VALUE!</v>
      </c>
      <c r="I59" s="220" t="s">
        <v>194</v>
      </c>
      <c r="J59" s="496"/>
      <c r="K59" s="496"/>
      <c r="L59" s="496"/>
      <c r="M59" s="441" t="e">
        <f t="shared" si="6"/>
        <v>#DIV/0!</v>
      </c>
      <c r="N59" s="441"/>
      <c r="O59" s="220"/>
      <c r="P59" s="220"/>
      <c r="Q59" s="228" t="s">
        <v>197</v>
      </c>
      <c r="R59" s="229" t="s">
        <v>195</v>
      </c>
    </row>
    <row r="60" spans="1:18" ht="15.75" hidden="1" x14ac:dyDescent="0.2">
      <c r="B60" s="99" t="s">
        <v>109</v>
      </c>
      <c r="C60" s="701" t="s">
        <v>190</v>
      </c>
      <c r="D60" s="701"/>
      <c r="E60" s="701"/>
      <c r="F60" s="276"/>
      <c r="G60" s="276"/>
      <c r="H60" s="291" t="e">
        <f t="shared" si="20"/>
        <v>#DIV/0!</v>
      </c>
      <c r="I60" s="57"/>
      <c r="J60" s="87"/>
      <c r="K60" s="87"/>
      <c r="L60" s="87"/>
      <c r="M60" s="441" t="e">
        <f t="shared" si="6"/>
        <v>#DIV/0!</v>
      </c>
      <c r="N60" s="441"/>
      <c r="O60" s="57"/>
      <c r="P60" s="57"/>
      <c r="Q60" s="57"/>
      <c r="R60" s="116"/>
    </row>
    <row r="61" spans="1:18" ht="94.5" hidden="1" x14ac:dyDescent="0.2">
      <c r="A61" s="312">
        <v>1</v>
      </c>
      <c r="B61" s="16" t="s">
        <v>199</v>
      </c>
      <c r="C61" s="190">
        <f>D13</f>
        <v>3206</v>
      </c>
      <c r="D61" s="191">
        <f>C61+D47</f>
        <v>4229.3899999999994</v>
      </c>
      <c r="E61" s="191">
        <f>D61*D7</f>
        <v>69446.583799999993</v>
      </c>
      <c r="F61" s="277"/>
      <c r="G61" s="277"/>
      <c r="H61" s="291">
        <f t="shared" si="20"/>
        <v>1642.0000000000002</v>
      </c>
      <c r="I61" s="223">
        <f>D61*$Y$2</f>
        <v>4990.6801999999989</v>
      </c>
      <c r="J61" s="497"/>
      <c r="K61" s="497"/>
      <c r="L61" s="497"/>
      <c r="M61" s="441" t="e">
        <f t="shared" si="6"/>
        <v>#DIV/0!</v>
      </c>
      <c r="N61" s="441"/>
      <c r="O61" s="223"/>
      <c r="P61" s="223"/>
      <c r="Q61" s="224">
        <f>I61*D7</f>
        <v>81946.968883999987</v>
      </c>
      <c r="R61" s="116"/>
    </row>
    <row r="62" spans="1:18" ht="78.75" hidden="1" x14ac:dyDescent="0.2">
      <c r="A62" s="312">
        <v>2</v>
      </c>
      <c r="B62" s="16" t="s">
        <v>200</v>
      </c>
      <c r="C62" s="192">
        <f>C61</f>
        <v>3206</v>
      </c>
      <c r="D62" s="191">
        <f>C62+D48</f>
        <v>4229.3899999999994</v>
      </c>
      <c r="E62" s="191">
        <f>D62*D8</f>
        <v>35273.112599999993</v>
      </c>
      <c r="F62" s="277"/>
      <c r="G62" s="277"/>
      <c r="H62" s="291">
        <f t="shared" si="20"/>
        <v>834</v>
      </c>
      <c r="I62" s="223">
        <f t="shared" ref="I62:I84" si="56">D62*$Y$2</f>
        <v>4990.6801999999989</v>
      </c>
      <c r="J62" s="497"/>
      <c r="K62" s="497"/>
      <c r="L62" s="497"/>
      <c r="M62" s="441" t="e">
        <f t="shared" si="6"/>
        <v>#DIV/0!</v>
      </c>
      <c r="N62" s="441"/>
      <c r="O62" s="223"/>
      <c r="P62" s="223"/>
      <c r="Q62" s="224">
        <f>I62*D8</f>
        <v>41622.272867999993</v>
      </c>
      <c r="R62" s="116"/>
    </row>
    <row r="63" spans="1:18" ht="78.75" hidden="1" x14ac:dyDescent="0.2">
      <c r="A63" s="312">
        <v>3</v>
      </c>
      <c r="B63" s="313" t="s">
        <v>231</v>
      </c>
      <c r="C63" s="192">
        <f>C62</f>
        <v>3206</v>
      </c>
      <c r="D63" s="191">
        <f>C63+D49</f>
        <v>4229.3899999999994</v>
      </c>
      <c r="E63" s="191">
        <f>D63*D9</f>
        <v>914956.62686999992</v>
      </c>
      <c r="F63" s="277"/>
      <c r="G63" s="277"/>
      <c r="H63" s="291">
        <f t="shared" si="20"/>
        <v>21633.3</v>
      </c>
      <c r="I63" s="223">
        <f t="shared" si="56"/>
        <v>4990.6801999999989</v>
      </c>
      <c r="J63" s="497"/>
      <c r="K63" s="497"/>
      <c r="L63" s="497"/>
      <c r="M63" s="441" t="e">
        <f t="shared" si="6"/>
        <v>#DIV/0!</v>
      </c>
      <c r="N63" s="441"/>
      <c r="O63" s="223"/>
      <c r="P63" s="223"/>
      <c r="Q63" s="224">
        <f>I63*D9</f>
        <v>1079648.8197065997</v>
      </c>
      <c r="R63" s="116"/>
    </row>
    <row r="64" spans="1:18" ht="94.5" hidden="1" x14ac:dyDescent="0.2">
      <c r="A64" s="312">
        <v>4</v>
      </c>
      <c r="B64" s="287" t="s">
        <v>230</v>
      </c>
      <c r="C64" s="192">
        <f t="shared" ref="C64:C65" si="57">C63</f>
        <v>3206</v>
      </c>
      <c r="D64" s="191">
        <f t="shared" ref="D64:D65" si="58">C64+D50</f>
        <v>4229.3899999999994</v>
      </c>
      <c r="E64" s="191">
        <f>D64*D10</f>
        <v>241.07522999999998</v>
      </c>
      <c r="F64" s="277"/>
      <c r="G64" s="277"/>
      <c r="H64" s="291">
        <f t="shared" si="20"/>
        <v>5.7</v>
      </c>
      <c r="I64" s="223">
        <f t="shared" si="56"/>
        <v>4990.6801999999989</v>
      </c>
      <c r="J64" s="497"/>
      <c r="K64" s="497"/>
      <c r="L64" s="497"/>
      <c r="M64" s="441" t="e">
        <f t="shared" si="6"/>
        <v>#DIV/0!</v>
      </c>
      <c r="N64" s="441"/>
      <c r="O64" s="223"/>
      <c r="P64" s="223"/>
      <c r="Q64" s="224">
        <f>I64*D10</f>
        <v>284.46877139999992</v>
      </c>
      <c r="R64" s="116"/>
    </row>
    <row r="65" spans="1:20" ht="78.75" hidden="1" x14ac:dyDescent="0.2">
      <c r="A65" s="312">
        <v>5</v>
      </c>
      <c r="B65" s="287" t="s">
        <v>222</v>
      </c>
      <c r="C65" s="192">
        <f t="shared" si="57"/>
        <v>3206</v>
      </c>
      <c r="D65" s="191">
        <f t="shared" si="58"/>
        <v>4229.3899999999994</v>
      </c>
      <c r="E65" s="191">
        <f>D65*D11</f>
        <v>1480.2864999999997</v>
      </c>
      <c r="F65" s="277"/>
      <c r="G65" s="277"/>
      <c r="H65" s="291">
        <f t="shared" si="20"/>
        <v>35</v>
      </c>
      <c r="I65" s="223">
        <f t="shared" si="56"/>
        <v>4990.6801999999989</v>
      </c>
      <c r="J65" s="497"/>
      <c r="K65" s="497"/>
      <c r="L65" s="497"/>
      <c r="M65" s="441" t="e">
        <f t="shared" si="6"/>
        <v>#DIV/0!</v>
      </c>
      <c r="N65" s="441"/>
      <c r="O65" s="223"/>
      <c r="P65" s="223"/>
      <c r="Q65" s="224">
        <f>I65*D11</f>
        <v>1746.7380699999994</v>
      </c>
      <c r="R65" s="116"/>
    </row>
    <row r="66" spans="1:20" ht="15.75" hidden="1" x14ac:dyDescent="0.2">
      <c r="B66" s="57" t="s">
        <v>106</v>
      </c>
      <c r="C66" s="192"/>
      <c r="D66" s="57"/>
      <c r="E66" s="191">
        <f>E61+E62+E63+E64+E65</f>
        <v>1021397.6849999999</v>
      </c>
      <c r="F66" s="277"/>
      <c r="G66" s="277"/>
      <c r="H66" s="291" t="e">
        <f t="shared" si="20"/>
        <v>#DIV/0!</v>
      </c>
      <c r="I66" s="223"/>
      <c r="J66" s="497"/>
      <c r="K66" s="497"/>
      <c r="L66" s="497"/>
      <c r="M66" s="441" t="e">
        <f t="shared" si="6"/>
        <v>#DIV/0!</v>
      </c>
      <c r="N66" s="441"/>
      <c r="O66" s="223"/>
      <c r="P66" s="223"/>
      <c r="Q66" s="225">
        <f>Q61+Q62+Q63+Q64+Q65</f>
        <v>1205249.2682999996</v>
      </c>
      <c r="R66" s="115">
        <f>'прил к эксп 3'!N19</f>
        <v>1205249.2682999996</v>
      </c>
    </row>
    <row r="67" spans="1:20" ht="15.75" hidden="1" x14ac:dyDescent="0.2">
      <c r="B67" s="99" t="s">
        <v>109</v>
      </c>
      <c r="C67" s="699" t="s">
        <v>191</v>
      </c>
      <c r="D67" s="699"/>
      <c r="E67" s="699"/>
      <c r="F67" s="278"/>
      <c r="G67" s="278"/>
      <c r="H67" s="291" t="e">
        <f t="shared" si="20"/>
        <v>#DIV/0!</v>
      </c>
      <c r="I67" s="223"/>
      <c r="J67" s="497"/>
      <c r="K67" s="497"/>
      <c r="L67" s="497"/>
      <c r="M67" s="441" t="e">
        <f t="shared" si="6"/>
        <v>#DIV/0!</v>
      </c>
      <c r="N67" s="441"/>
      <c r="O67" s="223"/>
      <c r="P67" s="223"/>
      <c r="Q67" s="116"/>
      <c r="R67" s="116"/>
    </row>
    <row r="68" spans="1:20" ht="94.5" hidden="1" x14ac:dyDescent="0.2">
      <c r="A68" s="312">
        <v>1</v>
      </c>
      <c r="B68" s="16" t="s">
        <v>199</v>
      </c>
      <c r="C68" s="115">
        <f>'прил к эксп 3'!P11</f>
        <v>3331</v>
      </c>
      <c r="D68" s="115">
        <f>C68+E47</f>
        <v>4399.21</v>
      </c>
      <c r="E68" s="116">
        <f>D68*E7</f>
        <v>70827.281000000003</v>
      </c>
      <c r="F68" s="269"/>
      <c r="G68" s="269"/>
      <c r="H68" s="291">
        <f t="shared" si="20"/>
        <v>1610.0000000000002</v>
      </c>
      <c r="I68" s="223">
        <f t="shared" si="56"/>
        <v>5191.0677999999998</v>
      </c>
      <c r="J68" s="497"/>
      <c r="K68" s="497"/>
      <c r="L68" s="497"/>
      <c r="M68" s="441" t="e">
        <f t="shared" si="6"/>
        <v>#DIV/0!</v>
      </c>
      <c r="N68" s="441"/>
      <c r="O68" s="223"/>
      <c r="P68" s="223"/>
      <c r="Q68" s="116">
        <f>I68*E7</f>
        <v>83576.191579999999</v>
      </c>
      <c r="R68" s="116"/>
      <c r="S68">
        <f>D68*Y2*E6</f>
        <v>900650.26329999988</v>
      </c>
      <c r="T68">
        <f>E68*Y2</f>
        <v>83576.191579999999</v>
      </c>
    </row>
    <row r="69" spans="1:20" ht="78.75" hidden="1" x14ac:dyDescent="0.2">
      <c r="A69" s="312">
        <v>2</v>
      </c>
      <c r="B69" s="16" t="s">
        <v>200</v>
      </c>
      <c r="C69" s="115">
        <f>C68</f>
        <v>3331</v>
      </c>
      <c r="D69" s="115">
        <f>C69+E48</f>
        <v>4399.21</v>
      </c>
      <c r="E69" s="116">
        <f>D69*E8</f>
        <v>36865.379800000002</v>
      </c>
      <c r="F69" s="269"/>
      <c r="G69" s="269"/>
      <c r="H69" s="291">
        <f t="shared" si="20"/>
        <v>838.00000000000011</v>
      </c>
      <c r="I69" s="223">
        <f t="shared" si="56"/>
        <v>5191.0677999999998</v>
      </c>
      <c r="J69" s="497"/>
      <c r="K69" s="497"/>
      <c r="L69" s="497"/>
      <c r="M69" s="441" t="e">
        <f t="shared" si="6"/>
        <v>#DIV/0!</v>
      </c>
      <c r="N69" s="441"/>
      <c r="O69" s="223"/>
      <c r="P69" s="223"/>
      <c r="Q69" s="116">
        <f>I69*E8</f>
        <v>43501.148164000006</v>
      </c>
      <c r="R69" s="116"/>
    </row>
    <row r="70" spans="1:20" ht="78.75" hidden="1" x14ac:dyDescent="0.2">
      <c r="A70" s="312">
        <v>3</v>
      </c>
      <c r="B70" s="313" t="s">
        <v>231</v>
      </c>
      <c r="C70" s="115">
        <f>C69</f>
        <v>3331</v>
      </c>
      <c r="D70" s="115">
        <f>C70+E49</f>
        <v>4399.21</v>
      </c>
      <c r="E70" s="116">
        <f>D70*E9</f>
        <v>654347.2938199999</v>
      </c>
      <c r="F70" s="269"/>
      <c r="G70" s="269"/>
      <c r="H70" s="291">
        <f t="shared" si="20"/>
        <v>14874.199999999999</v>
      </c>
      <c r="I70" s="223">
        <f t="shared" si="56"/>
        <v>5191.0677999999998</v>
      </c>
      <c r="J70" s="497"/>
      <c r="K70" s="497"/>
      <c r="L70" s="497"/>
      <c r="M70" s="441" t="e">
        <f t="shared" si="6"/>
        <v>#DIV/0!</v>
      </c>
      <c r="N70" s="441"/>
      <c r="O70" s="223"/>
      <c r="P70" s="223"/>
      <c r="Q70" s="116">
        <f>I70*E9</f>
        <v>772129.8067075999</v>
      </c>
      <c r="R70" s="116"/>
    </row>
    <row r="71" spans="1:20" ht="94.5" hidden="1" x14ac:dyDescent="0.2">
      <c r="A71" s="312">
        <v>4</v>
      </c>
      <c r="B71" s="287" t="s">
        <v>230</v>
      </c>
      <c r="C71" s="115">
        <f t="shared" ref="C71:C72" si="59">C70</f>
        <v>3331</v>
      </c>
      <c r="D71" s="115">
        <f t="shared" ref="D71:D72" si="60">C71+E50</f>
        <v>4399.21</v>
      </c>
      <c r="E71" s="116">
        <f>D71*E10</f>
        <v>149.57314000000002</v>
      </c>
      <c r="F71" s="269"/>
      <c r="G71" s="269"/>
      <c r="H71" s="291">
        <f t="shared" si="20"/>
        <v>3.4000000000000004</v>
      </c>
      <c r="I71" s="223">
        <f t="shared" si="56"/>
        <v>5191.0677999999998</v>
      </c>
      <c r="J71" s="497"/>
      <c r="K71" s="497"/>
      <c r="L71" s="497"/>
      <c r="M71" s="441" t="e">
        <f t="shared" si="6"/>
        <v>#DIV/0!</v>
      </c>
      <c r="N71" s="441"/>
      <c r="O71" s="223"/>
      <c r="P71" s="223"/>
      <c r="Q71" s="116">
        <f>I71*E10</f>
        <v>176.49630519999999</v>
      </c>
      <c r="R71" s="116"/>
    </row>
    <row r="72" spans="1:20" ht="78.75" hidden="1" x14ac:dyDescent="0.2">
      <c r="A72" s="312">
        <v>5</v>
      </c>
      <c r="B72" s="287" t="s">
        <v>222</v>
      </c>
      <c r="C72" s="115">
        <f t="shared" si="59"/>
        <v>3331</v>
      </c>
      <c r="D72" s="115">
        <f t="shared" si="60"/>
        <v>4399.21</v>
      </c>
      <c r="E72" s="116">
        <f>D72*E11</f>
        <v>1073.40724</v>
      </c>
      <c r="F72" s="269"/>
      <c r="G72" s="269"/>
      <c r="H72" s="291">
        <f t="shared" si="20"/>
        <v>24.4</v>
      </c>
      <c r="I72" s="223">
        <f t="shared" si="56"/>
        <v>5191.0677999999998</v>
      </c>
      <c r="J72" s="497"/>
      <c r="K72" s="497"/>
      <c r="L72" s="497"/>
      <c r="M72" s="441" t="e">
        <f t="shared" ref="M72:M92" si="61">K72/J72*100</f>
        <v>#DIV/0!</v>
      </c>
      <c r="N72" s="441"/>
      <c r="O72" s="223"/>
      <c r="P72" s="223"/>
      <c r="Q72" s="116">
        <f>I72*E11</f>
        <v>1266.6205431999999</v>
      </c>
      <c r="R72" s="116"/>
    </row>
    <row r="73" spans="1:20" ht="15.75" hidden="1" x14ac:dyDescent="0.2">
      <c r="B73" s="57" t="s">
        <v>106</v>
      </c>
      <c r="C73" s="116"/>
      <c r="D73" s="116"/>
      <c r="E73" s="116">
        <f>E68+E69+E70+E71+E72</f>
        <v>763262.93499999994</v>
      </c>
      <c r="F73" s="269"/>
      <c r="G73" s="269"/>
      <c r="H73" s="291" t="e">
        <f t="shared" si="20"/>
        <v>#DIV/0!</v>
      </c>
      <c r="I73" s="223"/>
      <c r="J73" s="497"/>
      <c r="K73" s="497"/>
      <c r="L73" s="497"/>
      <c r="M73" s="441" t="e">
        <f t="shared" si="61"/>
        <v>#DIV/0!</v>
      </c>
      <c r="N73" s="441"/>
      <c r="O73" s="223"/>
      <c r="P73" s="223"/>
      <c r="Q73" s="116">
        <f>Q68+Q69+Q70+Q71+Q72</f>
        <v>900650.26329999999</v>
      </c>
      <c r="R73" s="115">
        <f>'прил к эксп 3'!P19</f>
        <v>900650.26329999976</v>
      </c>
    </row>
    <row r="74" spans="1:20" ht="15.75" hidden="1" x14ac:dyDescent="0.2">
      <c r="B74" s="57" t="s">
        <v>198</v>
      </c>
      <c r="C74" s="232">
        <f>C68/C61*100</f>
        <v>103.89893948845913</v>
      </c>
      <c r="D74" s="116"/>
      <c r="E74" s="116"/>
      <c r="F74" s="269"/>
      <c r="G74" s="269"/>
      <c r="H74" s="291" t="e">
        <f t="shared" si="20"/>
        <v>#DIV/0!</v>
      </c>
      <c r="I74" s="233">
        <f>I68/I61*100</f>
        <v>104.01523623974145</v>
      </c>
      <c r="J74" s="498"/>
      <c r="K74" s="498"/>
      <c r="L74" s="498"/>
      <c r="M74" s="441" t="e">
        <f t="shared" si="61"/>
        <v>#DIV/0!</v>
      </c>
      <c r="N74" s="441"/>
      <c r="O74" s="233"/>
      <c r="P74" s="233"/>
      <c r="Q74" s="116"/>
      <c r="R74" s="115"/>
    </row>
    <row r="75" spans="1:20" ht="15.75" hidden="1" x14ac:dyDescent="0.2">
      <c r="B75" s="57"/>
      <c r="C75" s="232">
        <f>C69/C62*100</f>
        <v>103.89893948845913</v>
      </c>
      <c r="D75" s="116"/>
      <c r="E75" s="116"/>
      <c r="F75" s="269"/>
      <c r="G75" s="269"/>
      <c r="H75" s="291" t="e">
        <f t="shared" si="20"/>
        <v>#DIV/0!</v>
      </c>
      <c r="I75" s="233">
        <f>I69/I62*100</f>
        <v>104.01523623974145</v>
      </c>
      <c r="J75" s="498"/>
      <c r="K75" s="498"/>
      <c r="L75" s="498"/>
      <c r="M75" s="441" t="e">
        <f t="shared" si="61"/>
        <v>#DIV/0!</v>
      </c>
      <c r="N75" s="441"/>
      <c r="O75" s="233"/>
      <c r="P75" s="233"/>
      <c r="Q75" s="116"/>
      <c r="R75" s="115"/>
    </row>
    <row r="76" spans="1:20" ht="15.75" hidden="1" x14ac:dyDescent="0.2">
      <c r="B76" s="57"/>
      <c r="C76" s="232">
        <f>C70/C63*100</f>
        <v>103.89893948845913</v>
      </c>
      <c r="D76" s="116"/>
      <c r="E76" s="116"/>
      <c r="F76" s="269"/>
      <c r="G76" s="269"/>
      <c r="H76" s="291" t="e">
        <f t="shared" si="20"/>
        <v>#DIV/0!</v>
      </c>
      <c r="I76" s="233">
        <f>I70/I63*100</f>
        <v>104.01523623974145</v>
      </c>
      <c r="J76" s="498"/>
      <c r="K76" s="498"/>
      <c r="L76" s="498"/>
      <c r="M76" s="441" t="e">
        <f t="shared" si="61"/>
        <v>#DIV/0!</v>
      </c>
      <c r="N76" s="441"/>
      <c r="O76" s="233"/>
      <c r="P76" s="233"/>
      <c r="Q76" s="116"/>
      <c r="R76" s="115"/>
    </row>
    <row r="77" spans="1:20" ht="15.75" hidden="1" x14ac:dyDescent="0.2">
      <c r="B77" s="57"/>
      <c r="C77" s="232"/>
      <c r="D77" s="116"/>
      <c r="E77" s="116"/>
      <c r="F77" s="269"/>
      <c r="G77" s="269"/>
      <c r="H77" s="291" t="e">
        <f t="shared" si="20"/>
        <v>#DIV/0!</v>
      </c>
      <c r="I77" s="233">
        <f>I71/I64*100</f>
        <v>104.01523623974145</v>
      </c>
      <c r="J77" s="498"/>
      <c r="K77" s="498"/>
      <c r="L77" s="498"/>
      <c r="M77" s="441" t="e">
        <f t="shared" si="61"/>
        <v>#DIV/0!</v>
      </c>
      <c r="N77" s="441"/>
      <c r="O77" s="233"/>
      <c r="P77" s="233"/>
      <c r="Q77" s="116"/>
      <c r="R77" s="115"/>
    </row>
    <row r="78" spans="1:20" ht="15.75" hidden="1" x14ac:dyDescent="0.2">
      <c r="B78" s="57"/>
      <c r="C78" s="232"/>
      <c r="D78" s="116"/>
      <c r="E78" s="116"/>
      <c r="F78" s="269"/>
      <c r="G78" s="269"/>
      <c r="H78" s="291" t="e">
        <f t="shared" si="20"/>
        <v>#DIV/0!</v>
      </c>
      <c r="I78" s="233">
        <f>I72/I65*100</f>
        <v>104.01523623974145</v>
      </c>
      <c r="J78" s="498"/>
      <c r="K78" s="498"/>
      <c r="L78" s="498"/>
      <c r="M78" s="441" t="e">
        <f t="shared" si="61"/>
        <v>#DIV/0!</v>
      </c>
      <c r="N78" s="441"/>
      <c r="O78" s="233"/>
      <c r="P78" s="233"/>
      <c r="Q78" s="116"/>
      <c r="R78" s="115"/>
    </row>
    <row r="79" spans="1:20" ht="15.75" hidden="1" x14ac:dyDescent="0.2">
      <c r="B79" s="99" t="s">
        <v>109</v>
      </c>
      <c r="C79" s="699" t="s">
        <v>192</v>
      </c>
      <c r="D79" s="699"/>
      <c r="E79" s="699"/>
      <c r="F79" s="278"/>
      <c r="G79" s="278"/>
      <c r="H79" s="291" t="e">
        <f t="shared" si="20"/>
        <v>#DIV/0!</v>
      </c>
      <c r="I79" s="223"/>
      <c r="J79" s="497"/>
      <c r="K79" s="497"/>
      <c r="L79" s="497"/>
      <c r="M79" s="441" t="e">
        <f t="shared" si="61"/>
        <v>#DIV/0!</v>
      </c>
      <c r="N79" s="441"/>
      <c r="O79" s="223"/>
      <c r="P79" s="223"/>
      <c r="Q79" s="116"/>
      <c r="R79" s="116"/>
    </row>
    <row r="80" spans="1:20" ht="94.5" hidden="1" x14ac:dyDescent="0.2">
      <c r="A80" s="312">
        <v>1</v>
      </c>
      <c r="B80" s="16" t="s">
        <v>199</v>
      </c>
      <c r="C80" s="194">
        <f>'прил к эксп 3'!R11</f>
        <v>3258.2590361445782</v>
      </c>
      <c r="D80" s="194">
        <f>C80+I47</f>
        <v>4300.3870361445788</v>
      </c>
      <c r="E80" s="174">
        <f>D80*I7</f>
        <v>139848.58641542171</v>
      </c>
      <c r="F80" s="270"/>
      <c r="G80" s="270"/>
      <c r="H80" s="291">
        <f t="shared" si="20"/>
        <v>3252.0000000000005</v>
      </c>
      <c r="I80" s="223">
        <f t="shared" si="56"/>
        <v>5074.4567026506029</v>
      </c>
      <c r="J80" s="497"/>
      <c r="K80" s="497"/>
      <c r="L80" s="497"/>
      <c r="M80" s="441" t="e">
        <f t="shared" si="61"/>
        <v>#DIV/0!</v>
      </c>
      <c r="N80" s="441"/>
      <c r="O80" s="223"/>
      <c r="P80" s="223"/>
      <c r="Q80" s="116">
        <f>I80*I7</f>
        <v>165021.33197019761</v>
      </c>
      <c r="R80" s="116"/>
    </row>
    <row r="81" spans="1:19" ht="78.75" hidden="1" x14ac:dyDescent="0.2">
      <c r="A81" s="312">
        <v>2</v>
      </c>
      <c r="B81" s="16" t="s">
        <v>200</v>
      </c>
      <c r="C81" s="194">
        <f>C80</f>
        <v>3258.2590361445782</v>
      </c>
      <c r="D81" s="194">
        <f>C81+I48</f>
        <v>4300.3870361445788</v>
      </c>
      <c r="E81" s="174">
        <f>D81*I8</f>
        <v>71902.471244337357</v>
      </c>
      <c r="F81" s="270"/>
      <c r="G81" s="270"/>
      <c r="H81" s="291">
        <f t="shared" si="20"/>
        <v>1672</v>
      </c>
      <c r="I81" s="223">
        <f t="shared" si="56"/>
        <v>5074.4567026506029</v>
      </c>
      <c r="J81" s="497"/>
      <c r="K81" s="497"/>
      <c r="L81" s="497"/>
      <c r="M81" s="441" t="e">
        <f t="shared" si="61"/>
        <v>#DIV/0!</v>
      </c>
      <c r="N81" s="441"/>
      <c r="O81" s="223"/>
      <c r="P81" s="223"/>
      <c r="Q81" s="116">
        <f>I81*I8</f>
        <v>84844.916068318082</v>
      </c>
      <c r="R81" s="116"/>
    </row>
    <row r="82" spans="1:19" ht="78.75" hidden="1" x14ac:dyDescent="0.2">
      <c r="A82" s="312">
        <v>3</v>
      </c>
      <c r="B82" s="313" t="s">
        <v>231</v>
      </c>
      <c r="C82" s="194">
        <f>C81</f>
        <v>3258.2590361445782</v>
      </c>
      <c r="D82" s="194">
        <f>C82+I49</f>
        <v>4300.3870361445788</v>
      </c>
      <c r="E82" s="174">
        <f>D82*I9</f>
        <v>1569963.797220482</v>
      </c>
      <c r="F82" s="270"/>
      <c r="G82" s="270"/>
      <c r="H82" s="291">
        <f t="shared" si="20"/>
        <v>36507.5</v>
      </c>
      <c r="I82" s="223">
        <f t="shared" si="56"/>
        <v>5074.4567026506029</v>
      </c>
      <c r="J82" s="497"/>
      <c r="K82" s="497"/>
      <c r="L82" s="497"/>
      <c r="M82" s="441" t="e">
        <f t="shared" si="61"/>
        <v>#DIV/0!</v>
      </c>
      <c r="N82" s="441"/>
      <c r="O82" s="223"/>
      <c r="P82" s="223"/>
      <c r="Q82" s="116">
        <f>I82*I9</f>
        <v>1852557.2807201687</v>
      </c>
      <c r="R82" s="116"/>
    </row>
    <row r="83" spans="1:19" ht="94.5" hidden="1" x14ac:dyDescent="0.2">
      <c r="A83" s="312">
        <v>4</v>
      </c>
      <c r="B83" s="287" t="s">
        <v>230</v>
      </c>
      <c r="C83" s="194">
        <f t="shared" ref="C83:C84" si="62">C82</f>
        <v>3258.2590361445782</v>
      </c>
      <c r="D83" s="194">
        <f>C83+I50</f>
        <v>4300.3870361445788</v>
      </c>
      <c r="E83" s="174">
        <f>D83*I10</f>
        <v>391.33522028915667</v>
      </c>
      <c r="F83" s="270"/>
      <c r="G83" s="270"/>
      <c r="H83" s="291">
        <f t="shared" si="20"/>
        <v>9.1</v>
      </c>
      <c r="I83" s="223">
        <f t="shared" si="56"/>
        <v>5074.4567026506029</v>
      </c>
      <c r="J83" s="497"/>
      <c r="K83" s="497"/>
      <c r="L83" s="497"/>
      <c r="M83" s="441" t="e">
        <f t="shared" si="61"/>
        <v>#DIV/0!</v>
      </c>
      <c r="N83" s="441"/>
      <c r="O83" s="223"/>
      <c r="P83" s="223"/>
      <c r="Q83" s="116">
        <f>I83*I10</f>
        <v>461.77555994120485</v>
      </c>
      <c r="R83" s="116"/>
    </row>
    <row r="84" spans="1:19" ht="78.75" hidden="1" x14ac:dyDescent="0.2">
      <c r="A84" s="312">
        <v>5</v>
      </c>
      <c r="B84" s="287" t="s">
        <v>222</v>
      </c>
      <c r="C84" s="194">
        <f t="shared" si="62"/>
        <v>3258.2590361445782</v>
      </c>
      <c r="D84" s="194">
        <f>C84+I51</f>
        <v>4300.3870361445788</v>
      </c>
      <c r="E84" s="174">
        <f>D84*I11</f>
        <v>2554.4298994698797</v>
      </c>
      <c r="F84" s="270"/>
      <c r="G84" s="270"/>
      <c r="H84" s="291">
        <f t="shared" si="20"/>
        <v>59.4</v>
      </c>
      <c r="I84" s="223">
        <f t="shared" si="56"/>
        <v>5074.4567026506029</v>
      </c>
      <c r="J84" s="497"/>
      <c r="K84" s="497"/>
      <c r="L84" s="497"/>
      <c r="M84" s="441" t="e">
        <f t="shared" si="61"/>
        <v>#DIV/0!</v>
      </c>
      <c r="N84" s="441"/>
      <c r="O84" s="223"/>
      <c r="P84" s="223"/>
      <c r="Q84" s="116">
        <f>I84*I11</f>
        <v>3014.227281374458</v>
      </c>
      <c r="R84" s="116"/>
    </row>
    <row r="85" spans="1:19" ht="15.75" hidden="1" x14ac:dyDescent="0.2">
      <c r="B85" s="57" t="s">
        <v>106</v>
      </c>
      <c r="C85" s="174"/>
      <c r="D85" s="174"/>
      <c r="E85" s="174">
        <f>E80+E81+E82+E83+E84</f>
        <v>1784660.6200000003</v>
      </c>
      <c r="F85" s="270"/>
      <c r="G85" s="270"/>
      <c r="H85" s="291" t="e">
        <f t="shared" si="20"/>
        <v>#DIV/0!</v>
      </c>
      <c r="I85" s="197">
        <f>I80/'прил к эксп 3'!M27*100</f>
        <v>145.573233270489</v>
      </c>
      <c r="J85" s="499"/>
      <c r="K85" s="499"/>
      <c r="L85" s="499"/>
      <c r="M85" s="441" t="e">
        <f t="shared" si="61"/>
        <v>#DIV/0!</v>
      </c>
      <c r="N85" s="441"/>
      <c r="O85" s="197"/>
      <c r="P85" s="197"/>
      <c r="Q85" s="116">
        <f>Q80+Q81+Q82+Q83+Q84</f>
        <v>2105899.5315999999</v>
      </c>
      <c r="R85" s="115">
        <f>'прил к эксп 3'!R19</f>
        <v>2105899.5316000003</v>
      </c>
      <c r="S85">
        <f>E85*1.18</f>
        <v>2105899.5316000003</v>
      </c>
    </row>
    <row r="86" spans="1:19" ht="15.75" hidden="1" x14ac:dyDescent="0.2">
      <c r="B86" s="57" t="s">
        <v>198</v>
      </c>
      <c r="C86" s="174"/>
      <c r="D86" s="174"/>
      <c r="E86" s="174"/>
      <c r="F86" s="270"/>
      <c r="G86" s="270"/>
      <c r="H86" s="291" t="e">
        <f t="shared" ref="H86:H92" si="63">E86/D86*100</f>
        <v>#DIV/0!</v>
      </c>
      <c r="I86" s="197">
        <f>I81/'прил к эксп 3'!M28*100</f>
        <v>145.573233270489</v>
      </c>
      <c r="J86" s="499"/>
      <c r="K86" s="499"/>
      <c r="L86" s="499"/>
      <c r="M86" s="441" t="e">
        <f t="shared" si="61"/>
        <v>#DIV/0!</v>
      </c>
      <c r="N86" s="441"/>
      <c r="O86" s="197"/>
      <c r="P86" s="197"/>
      <c r="Q86" s="116"/>
      <c r="R86" s="115"/>
    </row>
    <row r="87" spans="1:19" ht="15.75" hidden="1" x14ac:dyDescent="0.2">
      <c r="B87" s="57"/>
      <c r="C87" s="174"/>
      <c r="D87" s="174"/>
      <c r="E87" s="174"/>
      <c r="F87" s="270"/>
      <c r="G87" s="270"/>
      <c r="H87" s="291" t="e">
        <f t="shared" si="63"/>
        <v>#DIV/0!</v>
      </c>
      <c r="I87" s="197">
        <f>I82/'прил к эксп 3'!M26*100</f>
        <v>145.573233270489</v>
      </c>
      <c r="J87" s="499"/>
      <c r="K87" s="499"/>
      <c r="L87" s="499"/>
      <c r="M87" s="441" t="e">
        <f t="shared" si="61"/>
        <v>#DIV/0!</v>
      </c>
      <c r="N87" s="441"/>
      <c r="O87" s="197"/>
      <c r="P87" s="197"/>
      <c r="Q87" s="116"/>
      <c r="R87" s="115"/>
    </row>
    <row r="88" spans="1:19" ht="15.75" hidden="1" x14ac:dyDescent="0.2">
      <c r="B88" s="57"/>
      <c r="C88" s="174"/>
      <c r="D88" s="174"/>
      <c r="E88" s="174"/>
      <c r="F88" s="270"/>
      <c r="G88" s="270"/>
      <c r="H88" s="291" t="e">
        <f t="shared" si="63"/>
        <v>#DIV/0!</v>
      </c>
      <c r="I88" s="113">
        <f>I83/'прил к эксп 3'!M27*100</f>
        <v>145.573233270489</v>
      </c>
      <c r="J88" s="499"/>
      <c r="K88" s="499"/>
      <c r="L88" s="499"/>
      <c r="M88" s="441" t="e">
        <f t="shared" si="61"/>
        <v>#DIV/0!</v>
      </c>
      <c r="N88" s="441"/>
      <c r="O88" s="113"/>
      <c r="P88" s="113"/>
      <c r="Q88" s="116"/>
      <c r="R88" s="115"/>
    </row>
    <row r="89" spans="1:19" ht="15.75" hidden="1" x14ac:dyDescent="0.2">
      <c r="B89" s="57"/>
      <c r="C89" s="174"/>
      <c r="D89" s="174"/>
      <c r="E89" s="174"/>
      <c r="F89" s="270"/>
      <c r="G89" s="270"/>
      <c r="H89" s="291" t="e">
        <f t="shared" si="63"/>
        <v>#DIV/0!</v>
      </c>
      <c r="I89" s="197">
        <f>I84/'прил к эксп 3'!M28*100</f>
        <v>145.573233270489</v>
      </c>
      <c r="J89" s="499"/>
      <c r="K89" s="499"/>
      <c r="L89" s="499"/>
      <c r="M89" s="441" t="e">
        <f t="shared" si="61"/>
        <v>#DIV/0!</v>
      </c>
      <c r="N89" s="441"/>
      <c r="O89" s="197"/>
      <c r="P89" s="197"/>
      <c r="Q89" s="116"/>
      <c r="R89" s="115"/>
    </row>
    <row r="90" spans="1:19" ht="15.75" hidden="1" x14ac:dyDescent="0.2">
      <c r="C90" s="176"/>
      <c r="D90" s="176"/>
      <c r="E90" s="195">
        <f>E66+E73</f>
        <v>1784660.6199999999</v>
      </c>
      <c r="F90" s="279"/>
      <c r="G90" s="279"/>
      <c r="H90" s="291" t="e">
        <f t="shared" si="63"/>
        <v>#DIV/0!</v>
      </c>
      <c r="I90" s="196" t="s">
        <v>193</v>
      </c>
      <c r="J90" s="500"/>
      <c r="K90" s="500"/>
      <c r="L90" s="500"/>
      <c r="M90" s="441" t="e">
        <f t="shared" si="61"/>
        <v>#DIV/0!</v>
      </c>
      <c r="N90" s="630"/>
      <c r="O90" s="196"/>
      <c r="P90" s="196"/>
      <c r="S90" s="230">
        <f>Q73+Q66</f>
        <v>2105899.5315999994</v>
      </c>
    </row>
    <row r="91" spans="1:19" ht="15.75" hidden="1" x14ac:dyDescent="0.2">
      <c r="H91" s="291" t="e">
        <f t="shared" si="63"/>
        <v>#DIV/0!</v>
      </c>
      <c r="M91" s="441" t="e">
        <f t="shared" si="61"/>
        <v>#DIV/0!</v>
      </c>
      <c r="N91" s="630"/>
    </row>
    <row r="92" spans="1:19" ht="15.75" hidden="1" x14ac:dyDescent="0.2">
      <c r="H92" s="291" t="e">
        <f t="shared" si="63"/>
        <v>#DIV/0!</v>
      </c>
      <c r="M92" s="441" t="e">
        <f t="shared" si="61"/>
        <v>#DIV/0!</v>
      </c>
      <c r="N92" s="630"/>
    </row>
    <row r="94" spans="1:19" ht="15.75" hidden="1" x14ac:dyDescent="0.2">
      <c r="A94" s="737" t="s">
        <v>242</v>
      </c>
      <c r="B94" s="737"/>
    </row>
    <row r="95" spans="1:19" ht="33.75" hidden="1" customHeight="1" x14ac:dyDescent="0.2">
      <c r="A95" s="706" t="s">
        <v>241</v>
      </c>
      <c r="B95" s="706"/>
      <c r="C95" s="706"/>
      <c r="D95" s="706"/>
      <c r="E95" s="706"/>
      <c r="F95" s="706"/>
      <c r="G95" s="706"/>
      <c r="H95" s="706"/>
      <c r="I95" s="706"/>
      <c r="J95" s="576"/>
      <c r="K95" s="576"/>
      <c r="L95" s="576"/>
      <c r="M95" s="432"/>
      <c r="N95" s="611"/>
      <c r="O95" s="339"/>
      <c r="P95" s="434"/>
    </row>
    <row r="98" spans="1:16" ht="14.25" customHeight="1" x14ac:dyDescent="0.2"/>
    <row r="99" spans="1:16" ht="33.75" customHeight="1" x14ac:dyDescent="0.25">
      <c r="A99" s="736" t="s">
        <v>41</v>
      </c>
      <c r="B99" s="736"/>
      <c r="C99" s="736"/>
      <c r="D99" s="736"/>
      <c r="E99" s="652"/>
      <c r="F99" s="653"/>
      <c r="G99" s="653"/>
      <c r="H99" s="652"/>
      <c r="I99" s="654"/>
      <c r="J99" s="655"/>
      <c r="K99" s="655"/>
      <c r="L99" s="625"/>
      <c r="M99" s="625"/>
      <c r="N99" s="625"/>
      <c r="O99" s="656" t="s">
        <v>256</v>
      </c>
      <c r="P99" s="321"/>
    </row>
  </sheetData>
  <mergeCells count="8">
    <mergeCell ref="M1:O1"/>
    <mergeCell ref="A2:O3"/>
    <mergeCell ref="A99:D99"/>
    <mergeCell ref="C79:E79"/>
    <mergeCell ref="C60:E60"/>
    <mergeCell ref="C67:E67"/>
    <mergeCell ref="A94:B94"/>
    <mergeCell ref="A95:I95"/>
  </mergeCells>
  <pageMargins left="0.59055118110236227" right="0" top="0" bottom="0" header="0" footer="0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Расчет средн.</vt:lpstr>
      <vt:lpstr>Расчет по методике</vt:lpstr>
      <vt:lpstr>МОЙ РАСЧЕТ</vt:lpstr>
      <vt:lpstr>МОЙ РАСЧЕТ (2)</vt:lpstr>
      <vt:lpstr>МОЙ РАСЧЕТ (3)</vt:lpstr>
      <vt:lpstr>МОЙ РАСЧЕТ (4)</vt:lpstr>
      <vt:lpstr>прил к эксп</vt:lpstr>
      <vt:lpstr>прил к эксп 1</vt:lpstr>
      <vt:lpstr>прил к эксп 2</vt:lpstr>
      <vt:lpstr>прил к эксп 3</vt:lpstr>
      <vt:lpstr>приложение к постановлению</vt:lpstr>
      <vt:lpstr>для Маркелова</vt:lpstr>
      <vt:lpstr>'МОЙ РАСЧЕТ (4)'!Область_печати</vt:lpstr>
      <vt:lpstr>'прил к эксп'!Область_печати</vt:lpstr>
      <vt:lpstr>'прил к эксп 1'!Область_печати</vt:lpstr>
      <vt:lpstr>'прил к эксп 2'!Область_печати</vt:lpstr>
      <vt:lpstr>'прил к эксп 3'!Область_печати</vt:lpstr>
      <vt:lpstr>'приложение к постановлению'!Область_печати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TUkhanova</dc:creator>
  <cp:lastModifiedBy>Алимова Анна Петровна</cp:lastModifiedBy>
  <cp:lastPrinted>2018-12-05T12:00:19Z</cp:lastPrinted>
  <dcterms:created xsi:type="dcterms:W3CDTF">2012-12-04T13:56:31Z</dcterms:created>
  <dcterms:modified xsi:type="dcterms:W3CDTF">2018-12-05T12:00:21Z</dcterms:modified>
</cp:coreProperties>
</file>